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255" windowHeight="4815" activeTab="0"/>
  </bookViews>
  <sheets>
    <sheet name="ESCALA" sheetId="1" r:id="rId1"/>
  </sheets>
  <definedNames>
    <definedName name="_Fill" hidden="1">'ESCALA'!#REF!</definedName>
    <definedName name="_Regression_Int" localSheetId="0" hidden="1">1</definedName>
    <definedName name="_xlnm.Print_Area" localSheetId="0">'ESCALA'!$A$2:$AC$56</definedName>
    <definedName name="Imprimir_área_IM" localSheetId="0">'ESCALA'!$A$2:$U$56</definedName>
  </definedNames>
  <calcPr fullCalcOnLoad="1"/>
</workbook>
</file>

<file path=xl/sharedStrings.xml><?xml version="1.0" encoding="utf-8"?>
<sst xmlns="http://schemas.openxmlformats.org/spreadsheetml/2006/main" count="166" uniqueCount="98">
  <si>
    <t>DESDE</t>
  </si>
  <si>
    <t>HASTA</t>
  </si>
  <si>
    <t xml:space="preserve">    11%</t>
  </si>
  <si>
    <t xml:space="preserve">   9,9%</t>
  </si>
  <si>
    <t xml:space="preserve">  AUA.</t>
  </si>
  <si>
    <t xml:space="preserve"> 80%</t>
  </si>
  <si>
    <t xml:space="preserve"> 100%</t>
  </si>
  <si>
    <t xml:space="preserve"> 70%</t>
  </si>
  <si>
    <t>GRADO 10</t>
  </si>
  <si>
    <t xml:space="preserve">GRADO 11 </t>
  </si>
  <si>
    <t>GRADO 12</t>
  </si>
  <si>
    <t>GRADO 13</t>
  </si>
  <si>
    <t xml:space="preserve"> 60%</t>
  </si>
  <si>
    <t>GRADO 14</t>
  </si>
  <si>
    <t xml:space="preserve">GRADO 15 </t>
  </si>
  <si>
    <t xml:space="preserve">  100%</t>
  </si>
  <si>
    <t xml:space="preserve">   80%</t>
  </si>
  <si>
    <t xml:space="preserve">   70%</t>
  </si>
  <si>
    <t xml:space="preserve">   60%</t>
  </si>
  <si>
    <t>GRADO 11</t>
  </si>
  <si>
    <t xml:space="preserve">   50%</t>
  </si>
  <si>
    <t>GRADO 15</t>
  </si>
  <si>
    <t>GRADO 16</t>
  </si>
  <si>
    <t>GRADO 17</t>
  </si>
  <si>
    <t xml:space="preserve">   40%</t>
  </si>
  <si>
    <t>GRADO 18</t>
  </si>
  <si>
    <t xml:space="preserve"> 25%</t>
  </si>
  <si>
    <t>GRADO 19</t>
  </si>
  <si>
    <t>GRADO 20</t>
  </si>
  <si>
    <t>GRADO 21</t>
  </si>
  <si>
    <t xml:space="preserve">   30%</t>
  </si>
  <si>
    <t>GRADO 22</t>
  </si>
  <si>
    <t>GRADO 23</t>
  </si>
  <si>
    <t>GRADO 24</t>
  </si>
  <si>
    <t>GRADO 25</t>
  </si>
  <si>
    <t>GRADO 26</t>
  </si>
  <si>
    <t xml:space="preserve">   20%</t>
  </si>
  <si>
    <t>GRADO 27</t>
  </si>
  <si>
    <t>GRADO 28</t>
  </si>
  <si>
    <t xml:space="preserve">   15%</t>
  </si>
  <si>
    <t>GRADO 29</t>
  </si>
  <si>
    <t>GRADO 30</t>
  </si>
  <si>
    <t>GRADO 31</t>
  </si>
  <si>
    <t>MOVILIZACION</t>
  </si>
  <si>
    <t>Rlem.,</t>
  </si>
  <si>
    <t>Nov-97</t>
  </si>
  <si>
    <t xml:space="preserve">  Nov-96</t>
  </si>
  <si>
    <t xml:space="preserve">  Tope</t>
  </si>
  <si>
    <t>Asig..</t>
  </si>
  <si>
    <t>Prof.</t>
  </si>
  <si>
    <t>PERSONAL NO ACADEMICO</t>
  </si>
  <si>
    <t>PERSONAL ACADEMICO</t>
  </si>
  <si>
    <t>NIVELES</t>
  </si>
  <si>
    <t>Gr.</t>
  </si>
  <si>
    <t>L 19200</t>
  </si>
  <si>
    <t>NIVEL A GR. 04</t>
  </si>
  <si>
    <t>NIVEL B GR. 08</t>
  </si>
  <si>
    <t>NIVEL C GR. 11</t>
  </si>
  <si>
    <t>NIVEL D GR. 14</t>
  </si>
  <si>
    <t>GRADO 06</t>
  </si>
  <si>
    <t>GRADO 05</t>
  </si>
  <si>
    <t>GRADO 07</t>
  </si>
  <si>
    <t>GRADO 08</t>
  </si>
  <si>
    <t>GRADO 09</t>
  </si>
  <si>
    <t>ESCALA DE RENTAS PERSONAL UNIVERSIDAD DE VALPARAISO</t>
  </si>
  <si>
    <t>GRADO 01</t>
  </si>
  <si>
    <t>GRADO 02</t>
  </si>
  <si>
    <t>GRADO 03</t>
  </si>
  <si>
    <t>GRADO 04</t>
  </si>
  <si>
    <t>POR CARGO DIRECTIVO:</t>
  </si>
  <si>
    <t xml:space="preserve">ASIGNACIONES DE MERITOS </t>
  </si>
  <si>
    <t xml:space="preserve">ASIGNACIONES DE GESTIONES </t>
  </si>
  <si>
    <t>NO SE REAJUSTA</t>
  </si>
  <si>
    <t>2008-2009</t>
  </si>
  <si>
    <t>2010-2011</t>
  </si>
  <si>
    <t>SE REAJUSTARON: GRADO 4º DIC 07 $  439.980</t>
  </si>
  <si>
    <t>ASIG. ADM. SUPERIOR grado 4</t>
  </si>
  <si>
    <t>ASIG. CARGO Y DEDICACIÓN  grado 4</t>
  </si>
  <si>
    <t>ASIG. U. ACAD. ESPECIAL  S/grado del funcionario</t>
  </si>
  <si>
    <t xml:space="preserve">MERITO 6 IP    </t>
  </si>
  <si>
    <t>En dic 2008 no se reajustaron</t>
  </si>
  <si>
    <t>2011-2012</t>
  </si>
  <si>
    <t xml:space="preserve">GESTIÓN ESTRATÉGICA </t>
  </si>
  <si>
    <t>ASIGNACIONES DE DU 205   8.333</t>
  </si>
  <si>
    <t>2012-2013</t>
  </si>
  <si>
    <t>Además del reajuste en los salarios, la negociación considera un bono de término de conflicto de $185.000 para sueldos menores a $631.800 y bono de $92.500 para salarios mayores al corte señalado. Ambos serán cancelados en diciembre.</t>
  </si>
  <si>
    <t>Asimismo, se entregará por primera vez y de forma permanente un bono de vacaciones de hasta 60 mil - con sueldo corte de $584.660 - el cual se iniciará su pago a partir de enero de 2013.</t>
  </si>
  <si>
    <t>También se fijó que el aguinaldo de Navidad, así como el de Fiestas Patrias serán reajustados en 5,3%.</t>
  </si>
  <si>
    <t>    </t>
  </si>
  <si>
    <t>El Gobierno alcanzó un acuerdo con la (ANEF) para reajustar en 5% los salarios de los trabajadores del sector público, por lo que el proyecto será enviado hoy al Congreso para el inicio de su discusión.</t>
  </si>
  <si>
    <t>TERMINO CONFLICTO</t>
  </si>
  <si>
    <t>AGUINALDO GOBIERNO</t>
  </si>
  <si>
    <t>BONO VACACIONES</t>
  </si>
  <si>
    <t>=&lt;</t>
  </si>
  <si>
    <t>&gt;</t>
  </si>
  <si>
    <t xml:space="preserve"> </t>
  </si>
  <si>
    <t>2013-2014</t>
  </si>
  <si>
    <t>2014-2015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</si>
</sst>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6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Calibri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3">
    <xf numFmtId="0" fontId="0" fillId="0" borderId="0" xfId="0" applyAlignment="1">
      <alignment/>
    </xf>
    <xf numFmtId="37" fontId="18" fillId="4" borderId="1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17" fontId="19" fillId="0" borderId="10" xfId="0" applyNumberFormat="1" applyFont="1" applyFill="1" applyBorder="1" applyAlignment="1" applyProtection="1">
      <alignment horizontal="center"/>
      <protection/>
    </xf>
    <xf numFmtId="17" fontId="20" fillId="0" borderId="10" xfId="0" applyNumberFormat="1" applyFont="1" applyFill="1" applyBorder="1" applyAlignment="1" applyProtection="1">
      <alignment horizontal="center"/>
      <protection/>
    </xf>
    <xf numFmtId="17" fontId="20" fillId="4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17" fontId="19" fillId="0" borderId="10" xfId="0" applyNumberFormat="1" applyFont="1" applyFill="1" applyBorder="1" applyAlignment="1" quotePrefix="1">
      <alignment horizontal="center"/>
    </xf>
    <xf numFmtId="17" fontId="19" fillId="0" borderId="10" xfId="0" applyNumberFormat="1" applyFont="1" applyFill="1" applyBorder="1" applyAlignment="1">
      <alignment horizontal="center"/>
    </xf>
    <xf numFmtId="17" fontId="20" fillId="0" borderId="10" xfId="0" applyNumberFormat="1" applyFont="1" applyFill="1" applyBorder="1" applyAlignment="1">
      <alignment horizontal="center"/>
    </xf>
    <xf numFmtId="17" fontId="20" fillId="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7" fontId="19" fillId="0" borderId="10" xfId="0" applyNumberFormat="1" applyFont="1" applyFill="1" applyBorder="1" applyAlignment="1" applyProtection="1">
      <alignment horizontal="right"/>
      <protection/>
    </xf>
    <xf numFmtId="37" fontId="19" fillId="0" borderId="10" xfId="0" applyNumberFormat="1" applyFont="1" applyFill="1" applyBorder="1" applyAlignment="1" applyProtection="1">
      <alignment horizontal="center"/>
      <protection/>
    </xf>
    <xf numFmtId="37" fontId="20" fillId="0" borderId="10" xfId="0" applyNumberFormat="1" applyFont="1" applyFill="1" applyBorder="1" applyAlignment="1" applyProtection="1">
      <alignment horizontal="center"/>
      <protection/>
    </xf>
    <xf numFmtId="37" fontId="20" fillId="4" borderId="1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37" fontId="19" fillId="0" borderId="0" xfId="0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7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/>
    </xf>
    <xf numFmtId="3" fontId="47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8" fillId="0" borderId="0" xfId="0" applyFont="1" applyAlignment="1">
      <alignment horizontal="left"/>
    </xf>
    <xf numFmtId="4" fontId="23" fillId="0" borderId="0" xfId="0" applyNumberFormat="1" applyFont="1" applyFill="1" applyAlignment="1">
      <alignment/>
    </xf>
    <xf numFmtId="174" fontId="23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/>
    </xf>
    <xf numFmtId="10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8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3" fontId="49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17" fontId="48" fillId="0" borderId="10" xfId="0" applyNumberFormat="1" applyFont="1" applyBorder="1" applyAlignment="1">
      <alignment horizontal="right"/>
    </xf>
    <xf numFmtId="17" fontId="1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37" fontId="18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1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9" fontId="27" fillId="0" borderId="10" xfId="0" applyNumberFormat="1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7" fontId="18" fillId="0" borderId="10" xfId="0" applyNumberFormat="1" applyFont="1" applyFill="1" applyBorder="1" applyAlignment="1" applyProtection="1">
      <alignment horizontal="center"/>
      <protection/>
    </xf>
    <xf numFmtId="17" fontId="18" fillId="0" borderId="1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28" fillId="0" borderId="10" xfId="0" applyNumberFormat="1" applyFont="1" applyFill="1" applyBorder="1" applyAlignment="1" applyProtection="1">
      <alignment horizontal="center"/>
      <protection/>
    </xf>
    <xf numFmtId="3" fontId="23" fillId="0" borderId="12" xfId="0" applyNumberFormat="1" applyFont="1" applyFill="1" applyBorder="1" applyAlignment="1">
      <alignment/>
    </xf>
    <xf numFmtId="37" fontId="24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7" fontId="2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37" fontId="28" fillId="33" borderId="10" xfId="0" applyNumberFormat="1" applyFont="1" applyFill="1" applyBorder="1" applyAlignment="1" applyProtection="1">
      <alignment horizontal="center"/>
      <protection/>
    </xf>
    <xf numFmtId="17" fontId="28" fillId="0" borderId="10" xfId="0" applyNumberFormat="1" applyFont="1" applyFill="1" applyBorder="1" applyAlignment="1" applyProtection="1">
      <alignment horizontal="center"/>
      <protection/>
    </xf>
    <xf numFmtId="17" fontId="28" fillId="0" borderId="10" xfId="0" applyNumberFormat="1" applyFont="1" applyFill="1" applyBorder="1" applyAlignment="1">
      <alignment horizontal="center"/>
    </xf>
    <xf numFmtId="37" fontId="20" fillId="0" borderId="10" xfId="0" applyNumberFormat="1" applyFont="1" applyFill="1" applyBorder="1" applyAlignment="1" applyProtection="1">
      <alignment horizontal="right"/>
      <protection/>
    </xf>
    <xf numFmtId="37" fontId="20" fillId="33" borderId="10" xfId="0" applyNumberFormat="1" applyFont="1" applyFill="1" applyBorder="1" applyAlignment="1" applyProtection="1">
      <alignment horizontal="right"/>
      <protection/>
    </xf>
    <xf numFmtId="37" fontId="20" fillId="33" borderId="10" xfId="0" applyNumberFormat="1" applyFont="1" applyFill="1" applyBorder="1" applyAlignment="1" applyProtection="1">
      <alignment/>
      <protection/>
    </xf>
    <xf numFmtId="37" fontId="20" fillId="33" borderId="10" xfId="0" applyNumberFormat="1" applyFont="1" applyFill="1" applyBorder="1" applyAlignment="1" applyProtection="1">
      <alignment horizontal="center"/>
      <protection/>
    </xf>
    <xf numFmtId="37" fontId="19" fillId="33" borderId="10" xfId="0" applyNumberFormat="1" applyFont="1" applyFill="1" applyBorder="1" applyAlignment="1" applyProtection="1">
      <alignment horizontal="center"/>
      <protection/>
    </xf>
    <xf numFmtId="37" fontId="18" fillId="33" borderId="10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 horizontal="right"/>
      <protection/>
    </xf>
    <xf numFmtId="37" fontId="28" fillId="34" borderId="14" xfId="0" applyNumberFormat="1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left"/>
    </xf>
    <xf numFmtId="3" fontId="18" fillId="0" borderId="21" xfId="0" applyNumberFormat="1" applyFont="1" applyFill="1" applyBorder="1" applyAlignment="1">
      <alignment horizontal="left"/>
    </xf>
    <xf numFmtId="0" fontId="19" fillId="0" borderId="10" xfId="0" applyFont="1" applyFill="1" applyBorder="1" applyAlignment="1" applyProtection="1">
      <alignment horizontal="left"/>
      <protection/>
    </xf>
    <xf numFmtId="9" fontId="19" fillId="0" borderId="10" xfId="0" applyNumberFormat="1" applyFont="1" applyFill="1" applyBorder="1" applyAlignment="1" applyProtection="1">
      <alignment horizontal="center"/>
      <protection/>
    </xf>
    <xf numFmtId="172" fontId="19" fillId="0" borderId="10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>
      <alignment horizontal="center"/>
    </xf>
    <xf numFmtId="172" fontId="20" fillId="4" borderId="10" xfId="0" applyNumberFormat="1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/>
    </xf>
    <xf numFmtId="9" fontId="28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7" fillId="33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 applyProtection="1">
      <alignment horizontal="center"/>
      <protection/>
    </xf>
    <xf numFmtId="172" fontId="18" fillId="0" borderId="10" xfId="0" applyNumberFormat="1" applyFont="1" applyFill="1" applyBorder="1" applyAlignment="1" applyProtection="1">
      <alignment horizontal="center"/>
      <protection/>
    </xf>
    <xf numFmtId="172" fontId="18" fillId="4" borderId="10" xfId="0" applyNumberFormat="1" applyFont="1" applyFill="1" applyBorder="1" applyAlignment="1" applyProtection="1">
      <alignment horizontal="center"/>
      <protection/>
    </xf>
    <xf numFmtId="9" fontId="18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/>
    </xf>
    <xf numFmtId="17" fontId="18" fillId="34" borderId="10" xfId="0" applyNumberFormat="1" applyFont="1" applyFill="1" applyBorder="1" applyAlignment="1" applyProtection="1">
      <alignment horizontal="center"/>
      <protection/>
    </xf>
    <xf numFmtId="17" fontId="18" fillId="34" borderId="10" xfId="0" applyNumberFormat="1" applyFont="1" applyFill="1" applyBorder="1" applyAlignment="1">
      <alignment horizontal="center"/>
    </xf>
    <xf numFmtId="9" fontId="18" fillId="34" borderId="10" xfId="0" applyNumberFormat="1" applyFont="1" applyFill="1" applyBorder="1" applyAlignment="1">
      <alignment horizontal="center"/>
    </xf>
    <xf numFmtId="37" fontId="18" fillId="34" borderId="10" xfId="0" applyNumberFormat="1" applyFont="1" applyFill="1" applyBorder="1" applyAlignment="1" applyProtection="1">
      <alignment horizontal="center"/>
      <protection/>
    </xf>
    <xf numFmtId="9" fontId="18" fillId="34" borderId="10" xfId="0" applyNumberFormat="1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left"/>
    </xf>
    <xf numFmtId="0" fontId="20" fillId="35" borderId="24" xfId="0" applyFont="1" applyFill="1" applyBorder="1" applyAlignment="1">
      <alignment horizontal="left"/>
    </xf>
    <xf numFmtId="0" fontId="48" fillId="0" borderId="22" xfId="0" applyFont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51</xdr:row>
      <xdr:rowOff>57150</xdr:rowOff>
    </xdr:from>
    <xdr:to>
      <xdr:col>34</xdr:col>
      <xdr:colOff>0</xdr:colOff>
      <xdr:row>56</xdr:row>
      <xdr:rowOff>142875</xdr:rowOff>
    </xdr:to>
    <xdr:sp>
      <xdr:nvSpPr>
        <xdr:cNvPr id="1" name="Line 67"/>
        <xdr:cNvSpPr>
          <a:spLocks/>
        </xdr:cNvSpPr>
      </xdr:nvSpPr>
      <xdr:spPr>
        <a:xfrm>
          <a:off x="8029575" y="83534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08"/>
  <sheetViews>
    <sheetView tabSelected="1" zoomScalePageLayoutView="0" workbookViewId="0" topLeftCell="A1">
      <selection activeCell="AG25" sqref="AG25"/>
    </sheetView>
  </sheetViews>
  <sheetFormatPr defaultColWidth="13.75390625" defaultRowHeight="12.75"/>
  <cols>
    <col min="1" max="1" width="9.75390625" style="25" customWidth="1"/>
    <col min="2" max="2" width="6.00390625" style="3" hidden="1" customWidth="1"/>
    <col min="3" max="4" width="5.875" style="3" hidden="1" customWidth="1"/>
    <col min="5" max="5" width="5.50390625" style="3" hidden="1" customWidth="1"/>
    <col min="6" max="6" width="6.00390625" style="3" hidden="1" customWidth="1"/>
    <col min="7" max="7" width="6.50390625" style="21" hidden="1" customWidth="1"/>
    <col min="8" max="8" width="6.75390625" style="23" hidden="1" customWidth="1"/>
    <col min="9" max="9" width="6.50390625" style="21" hidden="1" customWidth="1"/>
    <col min="10" max="10" width="6.00390625" style="21" hidden="1" customWidth="1"/>
    <col min="11" max="11" width="5.125" style="21" hidden="1" customWidth="1"/>
    <col min="12" max="12" width="5.375" style="21" hidden="1" customWidth="1"/>
    <col min="13" max="14" width="6.00390625" style="21" hidden="1" customWidth="1"/>
    <col min="15" max="15" width="5.75390625" style="21" hidden="1" customWidth="1"/>
    <col min="16" max="16" width="5.75390625" style="58" hidden="1" customWidth="1"/>
    <col min="17" max="17" width="6.50390625" style="75" hidden="1" customWidth="1"/>
    <col min="18" max="19" width="5.75390625" style="58" bestFit="1" customWidth="1"/>
    <col min="20" max="20" width="6.125" style="57" customWidth="1"/>
    <col min="21" max="21" width="4.875" style="52" bestFit="1" customWidth="1"/>
    <col min="22" max="22" width="28.875" style="2" customWidth="1"/>
    <col min="23" max="23" width="6.625" style="2" hidden="1" customWidth="1"/>
    <col min="24" max="24" width="2.25390625" style="2" bestFit="1" customWidth="1"/>
    <col min="25" max="26" width="6.875" style="4" hidden="1" customWidth="1"/>
    <col min="27" max="27" width="5.75390625" style="2" hidden="1" customWidth="1"/>
    <col min="28" max="28" width="7.25390625" style="32" bestFit="1" customWidth="1"/>
    <col min="29" max="29" width="7.25390625" style="2" bestFit="1" customWidth="1"/>
    <col min="30" max="30" width="0" style="2" hidden="1" customWidth="1"/>
    <col min="31" max="31" width="10.25390625" style="72" hidden="1" customWidth="1"/>
    <col min="32" max="32" width="0" style="2" hidden="1" customWidth="1"/>
    <col min="33" max="16384" width="13.75390625" style="2" customWidth="1"/>
  </cols>
  <sheetData>
    <row r="1" spans="1:30" ht="13.5" thickBo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Z1" s="26">
        <v>1.05</v>
      </c>
      <c r="AD1" s="71">
        <v>1.06</v>
      </c>
    </row>
    <row r="2" spans="1:29" ht="12.75">
      <c r="A2" s="139" t="s">
        <v>64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96" t="s">
        <v>75</v>
      </c>
      <c r="W2" s="97" t="s">
        <v>73</v>
      </c>
      <c r="X2" s="97" t="s">
        <v>53</v>
      </c>
      <c r="Y2" s="98" t="s">
        <v>74</v>
      </c>
      <c r="Z2" s="98" t="s">
        <v>81</v>
      </c>
      <c r="AA2" s="99" t="s">
        <v>84</v>
      </c>
      <c r="AB2" s="100" t="s">
        <v>96</v>
      </c>
      <c r="AC2" s="101" t="s">
        <v>97</v>
      </c>
    </row>
    <row r="3" spans="1:29" ht="12.75" customHeight="1">
      <c r="A3" s="110" t="s">
        <v>0</v>
      </c>
      <c r="B3" s="5">
        <v>35034</v>
      </c>
      <c r="C3" s="5">
        <v>35400</v>
      </c>
      <c r="D3" s="5">
        <v>35765</v>
      </c>
      <c r="E3" s="5">
        <v>36130</v>
      </c>
      <c r="F3" s="5">
        <v>36495</v>
      </c>
      <c r="G3" s="5">
        <v>36861</v>
      </c>
      <c r="H3" s="5">
        <v>37226</v>
      </c>
      <c r="I3" s="5">
        <v>38322</v>
      </c>
      <c r="J3" s="5">
        <v>38687</v>
      </c>
      <c r="K3" s="5">
        <v>39052</v>
      </c>
      <c r="L3" s="6">
        <v>39417</v>
      </c>
      <c r="M3" s="6">
        <v>39783</v>
      </c>
      <c r="N3" s="7">
        <v>40148</v>
      </c>
      <c r="O3" s="7">
        <v>40513</v>
      </c>
      <c r="P3" s="63">
        <v>40878</v>
      </c>
      <c r="Q3" s="78">
        <v>41244</v>
      </c>
      <c r="R3" s="63">
        <v>41609</v>
      </c>
      <c r="S3" s="130">
        <v>41974</v>
      </c>
      <c r="T3" s="54" t="s">
        <v>48</v>
      </c>
      <c r="U3" s="54" t="s">
        <v>47</v>
      </c>
      <c r="V3" s="105" t="s">
        <v>80</v>
      </c>
      <c r="W3" s="60">
        <v>459779</v>
      </c>
      <c r="X3" s="102"/>
      <c r="Y3" s="62">
        <v>479090</v>
      </c>
      <c r="Z3" s="29">
        <f>Y3*$Z$1</f>
        <v>503044.5</v>
      </c>
      <c r="AA3" s="29">
        <v>528196.725</v>
      </c>
      <c r="AB3" s="88">
        <f>AA3*105%</f>
        <v>554606.56125</v>
      </c>
      <c r="AC3" s="67">
        <f>AB3*106%</f>
        <v>587882.9549250001</v>
      </c>
    </row>
    <row r="4" spans="1:31" ht="12.75" customHeight="1">
      <c r="A4" s="110" t="s">
        <v>1</v>
      </c>
      <c r="B4" s="8" t="s">
        <v>46</v>
      </c>
      <c r="C4" s="9" t="s">
        <v>45</v>
      </c>
      <c r="D4" s="9">
        <v>36100</v>
      </c>
      <c r="E4" s="10">
        <v>36465</v>
      </c>
      <c r="F4" s="9">
        <v>36831</v>
      </c>
      <c r="G4" s="9">
        <v>37196</v>
      </c>
      <c r="H4" s="9">
        <v>37561</v>
      </c>
      <c r="I4" s="10">
        <v>38657</v>
      </c>
      <c r="J4" s="5">
        <v>39022</v>
      </c>
      <c r="K4" s="10">
        <v>39387</v>
      </c>
      <c r="L4" s="11">
        <v>39753</v>
      </c>
      <c r="M4" s="11">
        <v>40118</v>
      </c>
      <c r="N4" s="12">
        <v>40483</v>
      </c>
      <c r="O4" s="12">
        <v>40848</v>
      </c>
      <c r="P4" s="64">
        <v>41214</v>
      </c>
      <c r="Q4" s="79"/>
      <c r="R4" s="64"/>
      <c r="S4" s="131"/>
      <c r="T4" s="54" t="s">
        <v>49</v>
      </c>
      <c r="U4" s="54" t="s">
        <v>4</v>
      </c>
      <c r="V4" s="106" t="s">
        <v>71</v>
      </c>
      <c r="W4" s="60">
        <f>W3</f>
        <v>459779</v>
      </c>
      <c r="X4" s="102"/>
      <c r="Y4" s="62">
        <v>479090</v>
      </c>
      <c r="Z4" s="29">
        <f>Y4*$Z$1</f>
        <v>503044.5</v>
      </c>
      <c r="AA4" s="29">
        <v>528196.725</v>
      </c>
      <c r="AB4" s="88">
        <f>AA4*105%</f>
        <v>554606.56125</v>
      </c>
      <c r="AC4" s="67">
        <f aca="true" t="shared" si="0" ref="AC4:AC11">AB4*106%</f>
        <v>587882.9549250001</v>
      </c>
      <c r="AD4" s="87">
        <v>728662.4257500002</v>
      </c>
      <c r="AE4" s="73">
        <f>AD4*$AD$1</f>
        <v>772382.1712950002</v>
      </c>
    </row>
    <row r="5" spans="1:31" ht="12.75" customHeight="1">
      <c r="A5" s="110"/>
      <c r="B5" s="8" t="s">
        <v>2</v>
      </c>
      <c r="C5" s="8" t="s">
        <v>3</v>
      </c>
      <c r="D5" s="111">
        <v>0.06</v>
      </c>
      <c r="E5" s="111">
        <v>0.05</v>
      </c>
      <c r="F5" s="111">
        <v>0.05</v>
      </c>
      <c r="G5" s="112">
        <v>0.045</v>
      </c>
      <c r="H5" s="112">
        <v>0.048</v>
      </c>
      <c r="I5" s="112">
        <v>0.036</v>
      </c>
      <c r="J5" s="112">
        <v>0.052</v>
      </c>
      <c r="K5" s="112">
        <v>0.06</v>
      </c>
      <c r="L5" s="113">
        <v>0.069</v>
      </c>
      <c r="M5" s="113">
        <v>0.1</v>
      </c>
      <c r="N5" s="114">
        <v>0.045</v>
      </c>
      <c r="O5" s="114">
        <v>0.042</v>
      </c>
      <c r="P5" s="115">
        <v>1.05</v>
      </c>
      <c r="Q5" s="116">
        <v>0.05</v>
      </c>
      <c r="R5" s="115">
        <v>0.05</v>
      </c>
      <c r="S5" s="132">
        <v>0.06</v>
      </c>
      <c r="T5" s="95"/>
      <c r="U5" s="117"/>
      <c r="V5" s="106" t="s">
        <v>70</v>
      </c>
      <c r="W5" s="60">
        <f>W4</f>
        <v>459779</v>
      </c>
      <c r="X5" s="102"/>
      <c r="Y5" s="62">
        <v>479090</v>
      </c>
      <c r="Z5" s="29">
        <f>Y5*$Z$1</f>
        <v>503044.5</v>
      </c>
      <c r="AA5" s="29">
        <v>528196.725</v>
      </c>
      <c r="AB5" s="88">
        <f>AA5*105%</f>
        <v>554606.56125</v>
      </c>
      <c r="AC5" s="67">
        <f t="shared" si="0"/>
        <v>587882.9549250001</v>
      </c>
      <c r="AD5" s="87">
        <v>686762.1888750001</v>
      </c>
      <c r="AE5" s="73">
        <f aca="true" t="shared" si="1" ref="AE5:AE18">AD5*$AD$1</f>
        <v>727967.9202075001</v>
      </c>
    </row>
    <row r="6" spans="1:31" ht="12.75">
      <c r="A6" s="118" t="s">
        <v>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28"/>
      <c r="S6" s="128"/>
      <c r="T6" s="118"/>
      <c r="U6" s="118"/>
      <c r="V6" s="105" t="s">
        <v>79</v>
      </c>
      <c r="W6" s="60">
        <v>459779</v>
      </c>
      <c r="X6" s="42"/>
      <c r="Y6" s="62">
        <v>479090</v>
      </c>
      <c r="Z6" s="29">
        <f>Y6*$Z$1</f>
        <v>503044.5</v>
      </c>
      <c r="AA6" s="29">
        <v>528196.725</v>
      </c>
      <c r="AB6" s="88">
        <f>AA6*105%</f>
        <v>554606.56125</v>
      </c>
      <c r="AC6" s="67">
        <f t="shared" si="0"/>
        <v>587882.9549250001</v>
      </c>
      <c r="AD6" s="87">
        <v>647282.5458750001</v>
      </c>
      <c r="AE6" s="73">
        <f t="shared" si="1"/>
        <v>686119.4986275001</v>
      </c>
    </row>
    <row r="7" spans="1:31" ht="12.75" customHeight="1">
      <c r="A7" s="119" t="s">
        <v>65</v>
      </c>
      <c r="B7" s="14">
        <v>284331</v>
      </c>
      <c r="C7" s="14">
        <f>B7*109.9%</f>
        <v>312479.769</v>
      </c>
      <c r="D7" s="14">
        <f>331229</f>
        <v>331229</v>
      </c>
      <c r="E7" s="14">
        <f>331229*105%</f>
        <v>347790.45</v>
      </c>
      <c r="F7" s="14">
        <v>365180</v>
      </c>
      <c r="G7" s="14">
        <v>381613</v>
      </c>
      <c r="H7" s="14">
        <v>399930</v>
      </c>
      <c r="I7" s="15">
        <v>440841</v>
      </c>
      <c r="J7" s="15">
        <v>463765</v>
      </c>
      <c r="K7" s="15">
        <v>491591</v>
      </c>
      <c r="L7" s="15">
        <f>K7*106.9%</f>
        <v>525510.779</v>
      </c>
      <c r="M7" s="16">
        <f>L7*110%</f>
        <v>578061.8569</v>
      </c>
      <c r="N7" s="17">
        <v>604075</v>
      </c>
      <c r="O7" s="1">
        <v>629446</v>
      </c>
      <c r="P7" s="51">
        <v>660918.3</v>
      </c>
      <c r="Q7" s="66">
        <f aca="true" t="shared" si="2" ref="Q7:Q21">P7*105%</f>
        <v>693964.2150000001</v>
      </c>
      <c r="R7" s="51">
        <v>728662</v>
      </c>
      <c r="S7" s="133">
        <v>772382</v>
      </c>
      <c r="T7" s="55" t="s">
        <v>5</v>
      </c>
      <c r="U7" s="120" t="s">
        <v>6</v>
      </c>
      <c r="V7" s="106" t="s">
        <v>69</v>
      </c>
      <c r="W7" s="60"/>
      <c r="X7" s="102"/>
      <c r="Y7" s="62"/>
      <c r="Z7" s="29"/>
      <c r="AA7" s="29"/>
      <c r="AB7" s="88"/>
      <c r="AC7" s="67"/>
      <c r="AD7" s="87">
        <v>610067.2173750001</v>
      </c>
      <c r="AE7" s="73">
        <f t="shared" si="1"/>
        <v>646671.2504175002</v>
      </c>
    </row>
    <row r="8" spans="1:31" ht="12.75" customHeight="1">
      <c r="A8" s="119" t="s">
        <v>66</v>
      </c>
      <c r="B8" s="14">
        <v>267982</v>
      </c>
      <c r="C8" s="14">
        <v>294512</v>
      </c>
      <c r="D8" s="14">
        <f>312183</f>
        <v>312183</v>
      </c>
      <c r="E8" s="14">
        <f>312183*105%</f>
        <v>327792.15</v>
      </c>
      <c r="F8" s="14">
        <v>344182</v>
      </c>
      <c r="G8" s="14">
        <v>359670</v>
      </c>
      <c r="H8" s="14">
        <v>376934</v>
      </c>
      <c r="I8" s="15">
        <v>415492</v>
      </c>
      <c r="J8" s="15">
        <v>437098</v>
      </c>
      <c r="K8" s="15">
        <v>463324</v>
      </c>
      <c r="L8" s="15">
        <f aca="true" t="shared" si="3" ref="L8:L21">K8*106.9%</f>
        <v>495293.35599999997</v>
      </c>
      <c r="M8" s="16">
        <f>L8*110%</f>
        <v>544822.6916</v>
      </c>
      <c r="N8" s="17">
        <v>569339</v>
      </c>
      <c r="O8" s="1">
        <v>593251</v>
      </c>
      <c r="P8" s="51">
        <v>622913.55</v>
      </c>
      <c r="Q8" s="66">
        <f t="shared" si="2"/>
        <v>654059.2275</v>
      </c>
      <c r="R8" s="51">
        <v>686762</v>
      </c>
      <c r="S8" s="133">
        <v>727968</v>
      </c>
      <c r="T8" s="55" t="s">
        <v>5</v>
      </c>
      <c r="U8" s="54" t="s">
        <v>6</v>
      </c>
      <c r="V8" s="106" t="s">
        <v>82</v>
      </c>
      <c r="W8" s="60">
        <v>549159</v>
      </c>
      <c r="X8" s="102">
        <v>1</v>
      </c>
      <c r="Y8" s="62">
        <v>572225</v>
      </c>
      <c r="Z8" s="29">
        <f>Y8*$Z$1</f>
        <v>600836.25</v>
      </c>
      <c r="AA8" s="29">
        <v>630878.0625</v>
      </c>
      <c r="AB8" s="88">
        <f>AA8*105%</f>
        <v>662421.9656250001</v>
      </c>
      <c r="AC8" s="67">
        <f t="shared" si="0"/>
        <v>702167.2835625001</v>
      </c>
      <c r="AD8" s="87">
        <v>575000.4408750001</v>
      </c>
      <c r="AE8" s="73">
        <f t="shared" si="1"/>
        <v>609500.4673275001</v>
      </c>
    </row>
    <row r="9" spans="1:31" ht="12.75" customHeight="1">
      <c r="A9" s="119" t="s">
        <v>67</v>
      </c>
      <c r="B9" s="14">
        <v>252575</v>
      </c>
      <c r="C9" s="14">
        <v>277580</v>
      </c>
      <c r="D9" s="14">
        <f>294235</f>
        <v>294235</v>
      </c>
      <c r="E9" s="14">
        <f>294235*105%</f>
        <v>308946.75</v>
      </c>
      <c r="F9" s="14">
        <v>324394</v>
      </c>
      <c r="G9" s="14">
        <v>338992</v>
      </c>
      <c r="H9" s="14">
        <v>355264</v>
      </c>
      <c r="I9" s="15">
        <v>391606</v>
      </c>
      <c r="J9" s="15">
        <v>411970</v>
      </c>
      <c r="K9" s="15">
        <v>436688</v>
      </c>
      <c r="L9" s="15">
        <f t="shared" si="3"/>
        <v>466819.47199999995</v>
      </c>
      <c r="M9" s="16">
        <f aca="true" t="shared" si="4" ref="M9:M55">L9*110%</f>
        <v>513501.4192</v>
      </c>
      <c r="N9" s="17">
        <v>536609</v>
      </c>
      <c r="O9" s="1">
        <v>559147</v>
      </c>
      <c r="P9" s="51">
        <v>587104.35</v>
      </c>
      <c r="Q9" s="66">
        <f t="shared" si="2"/>
        <v>616459.5675</v>
      </c>
      <c r="R9" s="51">
        <v>647283</v>
      </c>
      <c r="S9" s="133">
        <v>686120</v>
      </c>
      <c r="T9" s="55" t="s">
        <v>5</v>
      </c>
      <c r="U9" s="54" t="s">
        <v>6</v>
      </c>
      <c r="V9" s="106" t="s">
        <v>78</v>
      </c>
      <c r="W9" s="60">
        <v>487826</v>
      </c>
      <c r="X9" s="102">
        <v>3</v>
      </c>
      <c r="Y9" s="62">
        <f>W9*104.2%</f>
        <v>508314.69200000004</v>
      </c>
      <c r="Z9" s="29">
        <f>Y9*$Z$1</f>
        <v>533730.4266</v>
      </c>
      <c r="AA9" s="29">
        <v>560416.94793</v>
      </c>
      <c r="AB9" s="88">
        <f>AA9*105%</f>
        <v>588437.7953265001</v>
      </c>
      <c r="AC9" s="67">
        <f t="shared" si="0"/>
        <v>623744.0630460901</v>
      </c>
      <c r="AD9" s="87">
        <v>541929.4098750001</v>
      </c>
      <c r="AE9" s="73">
        <f t="shared" si="1"/>
        <v>574445.1744675002</v>
      </c>
    </row>
    <row r="10" spans="1:31" ht="12.75" customHeight="1">
      <c r="A10" s="121" t="s">
        <v>68</v>
      </c>
      <c r="B10" s="81">
        <v>238055</v>
      </c>
      <c r="C10" s="81">
        <v>261622</v>
      </c>
      <c r="D10" s="81">
        <f>277319</f>
        <v>277319</v>
      </c>
      <c r="E10" s="81">
        <f>277319*105%</f>
        <v>291184.95</v>
      </c>
      <c r="F10" s="81">
        <v>305744</v>
      </c>
      <c r="G10" s="81">
        <v>319502</v>
      </c>
      <c r="H10" s="82">
        <v>334838</v>
      </c>
      <c r="I10" s="83">
        <v>369091</v>
      </c>
      <c r="J10" s="83">
        <v>388284</v>
      </c>
      <c r="K10" s="83">
        <v>411581</v>
      </c>
      <c r="L10" s="84">
        <f t="shared" si="3"/>
        <v>439980.089</v>
      </c>
      <c r="M10" s="83">
        <f t="shared" si="4"/>
        <v>483978.0979</v>
      </c>
      <c r="N10" s="83">
        <v>505757</v>
      </c>
      <c r="O10" s="85">
        <v>526999</v>
      </c>
      <c r="P10" s="85">
        <v>553348.9500000001</v>
      </c>
      <c r="Q10" s="77">
        <f t="shared" si="2"/>
        <v>581016.3975000001</v>
      </c>
      <c r="R10" s="85">
        <v>610067</v>
      </c>
      <c r="S10" s="85">
        <v>646671</v>
      </c>
      <c r="T10" s="86" t="s">
        <v>5</v>
      </c>
      <c r="U10" s="122" t="s">
        <v>6</v>
      </c>
      <c r="V10" s="106" t="s">
        <v>77</v>
      </c>
      <c r="W10" s="60">
        <v>459779</v>
      </c>
      <c r="X10" s="102">
        <v>4</v>
      </c>
      <c r="Y10" s="62">
        <v>479090</v>
      </c>
      <c r="Z10" s="29">
        <f>Y10*$Z$1</f>
        <v>503044.5</v>
      </c>
      <c r="AA10" s="29">
        <v>528196.725</v>
      </c>
      <c r="AB10" s="88">
        <f>AA10*105%</f>
        <v>554606.56125</v>
      </c>
      <c r="AC10" s="67">
        <f t="shared" si="0"/>
        <v>587882.9549250001</v>
      </c>
      <c r="AD10" s="87">
        <v>510776</v>
      </c>
      <c r="AE10" s="73">
        <f t="shared" si="1"/>
        <v>541422.56</v>
      </c>
    </row>
    <row r="11" spans="1:31" ht="12.75" customHeight="1">
      <c r="A11" s="119" t="s">
        <v>60</v>
      </c>
      <c r="B11" s="14">
        <v>224370</v>
      </c>
      <c r="C11" s="14">
        <v>246583</v>
      </c>
      <c r="D11" s="14">
        <f>261378</f>
        <v>261378</v>
      </c>
      <c r="E11" s="14">
        <f>261378*105%</f>
        <v>274446.9</v>
      </c>
      <c r="F11" s="14">
        <v>288169</v>
      </c>
      <c r="G11" s="14">
        <v>301137</v>
      </c>
      <c r="H11" s="14">
        <v>315592</v>
      </c>
      <c r="I11" s="15">
        <v>347875</v>
      </c>
      <c r="J11" s="15">
        <v>365965</v>
      </c>
      <c r="K11" s="15">
        <v>387923</v>
      </c>
      <c r="L11" s="15">
        <f t="shared" si="3"/>
        <v>414689.687</v>
      </c>
      <c r="M11" s="16">
        <f t="shared" si="4"/>
        <v>456158.6557</v>
      </c>
      <c r="N11" s="17">
        <v>476686</v>
      </c>
      <c r="O11" s="1">
        <v>496707</v>
      </c>
      <c r="P11" s="51">
        <v>521542.35000000003</v>
      </c>
      <c r="Q11" s="66">
        <f t="shared" si="2"/>
        <v>547619.4675</v>
      </c>
      <c r="R11" s="51">
        <v>575000</v>
      </c>
      <c r="S11" s="133">
        <v>609500</v>
      </c>
      <c r="T11" s="55" t="s">
        <v>5</v>
      </c>
      <c r="U11" s="54" t="s">
        <v>6</v>
      </c>
      <c r="V11" s="106" t="s">
        <v>76</v>
      </c>
      <c r="W11" s="60">
        <v>459779</v>
      </c>
      <c r="X11" s="102">
        <v>4</v>
      </c>
      <c r="Y11" s="62">
        <v>479090</v>
      </c>
      <c r="Z11" s="29">
        <f>Y11*$Z$1</f>
        <v>503044.5</v>
      </c>
      <c r="AA11" s="29">
        <v>528196.725</v>
      </c>
      <c r="AB11" s="88">
        <f>AA11*105%</f>
        <v>554606.56125</v>
      </c>
      <c r="AC11" s="67">
        <f t="shared" si="0"/>
        <v>587882.9549250001</v>
      </c>
      <c r="AD11" s="87">
        <v>481415.7206250001</v>
      </c>
      <c r="AE11" s="73">
        <f t="shared" si="1"/>
        <v>510300.6638625001</v>
      </c>
    </row>
    <row r="12" spans="1:31" ht="12.75" customHeight="1">
      <c r="A12" s="119" t="s">
        <v>59</v>
      </c>
      <c r="B12" s="14">
        <v>211467</v>
      </c>
      <c r="C12" s="14">
        <v>232402</v>
      </c>
      <c r="D12" s="14">
        <f>246346</f>
        <v>246346</v>
      </c>
      <c r="E12" s="14">
        <f>246346*105%</f>
        <v>258663.30000000002</v>
      </c>
      <c r="F12" s="14">
        <v>271596</v>
      </c>
      <c r="G12" s="14">
        <v>283818</v>
      </c>
      <c r="H12" s="14">
        <v>297441</v>
      </c>
      <c r="I12" s="15">
        <v>327868</v>
      </c>
      <c r="J12" s="15">
        <v>344917</v>
      </c>
      <c r="K12" s="15">
        <v>365612</v>
      </c>
      <c r="L12" s="15">
        <f t="shared" si="3"/>
        <v>390839.228</v>
      </c>
      <c r="M12" s="16">
        <f t="shared" si="4"/>
        <v>429923.15080000006</v>
      </c>
      <c r="N12" s="17">
        <v>449270</v>
      </c>
      <c r="O12" s="1">
        <v>468139</v>
      </c>
      <c r="P12" s="51">
        <v>491545.95</v>
      </c>
      <c r="Q12" s="66">
        <f t="shared" si="2"/>
        <v>516123.24750000006</v>
      </c>
      <c r="R12" s="51">
        <v>541929</v>
      </c>
      <c r="S12" s="133">
        <v>574445</v>
      </c>
      <c r="T12" s="55" t="s">
        <v>5</v>
      </c>
      <c r="U12" s="54" t="s">
        <v>6</v>
      </c>
      <c r="V12" s="107"/>
      <c r="W12" s="89"/>
      <c r="X12" s="89"/>
      <c r="Y12" s="29"/>
      <c r="Z12" s="90"/>
      <c r="AA12" s="42"/>
      <c r="AB12" s="29"/>
      <c r="AC12" s="67">
        <f>+R12*80%</f>
        <v>433543.2</v>
      </c>
      <c r="AD12" s="87">
        <v>459369.9101250001</v>
      </c>
      <c r="AE12" s="73">
        <f t="shared" si="1"/>
        <v>486932.10473250016</v>
      </c>
    </row>
    <row r="13" spans="1:31" ht="12.75" customHeight="1">
      <c r="A13" s="119" t="s">
        <v>61</v>
      </c>
      <c r="B13" s="14">
        <v>199310</v>
      </c>
      <c r="C13" s="14">
        <v>219042</v>
      </c>
      <c r="D13" s="14">
        <f>232185</f>
        <v>232185</v>
      </c>
      <c r="E13" s="14">
        <f>232185*105%</f>
        <v>243794.25</v>
      </c>
      <c r="F13" s="14">
        <v>255984</v>
      </c>
      <c r="G13" s="14">
        <v>267503</v>
      </c>
      <c r="H13" s="14">
        <v>280343</v>
      </c>
      <c r="I13" s="15">
        <v>309020</v>
      </c>
      <c r="J13" s="15">
        <v>325089</v>
      </c>
      <c r="K13" s="15">
        <v>344594</v>
      </c>
      <c r="L13" s="15">
        <f t="shared" si="3"/>
        <v>368370.986</v>
      </c>
      <c r="M13" s="16">
        <f t="shared" si="4"/>
        <v>405208.0846</v>
      </c>
      <c r="N13" s="17">
        <v>423442</v>
      </c>
      <c r="O13" s="1">
        <v>441227</v>
      </c>
      <c r="P13" s="51">
        <v>463288.35000000003</v>
      </c>
      <c r="Q13" s="66">
        <f t="shared" si="2"/>
        <v>486452.7675000001</v>
      </c>
      <c r="R13" s="51">
        <v>510776</v>
      </c>
      <c r="S13" s="133">
        <v>541423</v>
      </c>
      <c r="T13" s="55" t="s">
        <v>7</v>
      </c>
      <c r="U13" s="54" t="s">
        <v>6</v>
      </c>
      <c r="V13" s="108" t="s">
        <v>83</v>
      </c>
      <c r="W13" s="42"/>
      <c r="X13" s="102"/>
      <c r="Y13" s="29"/>
      <c r="Z13" s="90"/>
      <c r="AA13" s="42"/>
      <c r="AB13" s="29"/>
      <c r="AC13" s="103"/>
      <c r="AD13" s="87">
        <v>438326.60287500004</v>
      </c>
      <c r="AE13" s="73">
        <f t="shared" si="1"/>
        <v>464626.1990475001</v>
      </c>
    </row>
    <row r="14" spans="1:31" ht="12.75" customHeight="1" thickBot="1">
      <c r="A14" s="119" t="s">
        <v>62</v>
      </c>
      <c r="B14" s="14">
        <v>187854</v>
      </c>
      <c r="C14" s="14">
        <v>206452</v>
      </c>
      <c r="D14" s="14">
        <f>218839</f>
        <v>218839</v>
      </c>
      <c r="E14" s="14">
        <f>218839*105%</f>
        <v>229780.95</v>
      </c>
      <c r="F14" s="14">
        <v>241270</v>
      </c>
      <c r="G14" s="14">
        <v>252127</v>
      </c>
      <c r="H14" s="14">
        <v>264229</v>
      </c>
      <c r="I14" s="15">
        <v>291258</v>
      </c>
      <c r="J14" s="15">
        <v>306403</v>
      </c>
      <c r="K14" s="15">
        <v>324787</v>
      </c>
      <c r="L14" s="15">
        <f t="shared" si="3"/>
        <v>347197.30299999996</v>
      </c>
      <c r="M14" s="16">
        <f t="shared" si="4"/>
        <v>381917.0333</v>
      </c>
      <c r="N14" s="17">
        <v>399103</v>
      </c>
      <c r="O14" s="1">
        <v>415865</v>
      </c>
      <c r="P14" s="51">
        <v>436658.25</v>
      </c>
      <c r="Q14" s="66">
        <f t="shared" si="2"/>
        <v>458491.16250000003</v>
      </c>
      <c r="R14" s="51">
        <v>481416</v>
      </c>
      <c r="S14" s="133">
        <v>510301</v>
      </c>
      <c r="T14" s="55" t="s">
        <v>7</v>
      </c>
      <c r="U14" s="59">
        <v>0.8</v>
      </c>
      <c r="V14" s="109" t="s">
        <v>72</v>
      </c>
      <c r="W14" s="61"/>
      <c r="X14" s="61"/>
      <c r="Y14" s="94"/>
      <c r="Z14" s="94"/>
      <c r="AA14" s="61"/>
      <c r="AB14" s="94"/>
      <c r="AC14" s="104"/>
      <c r="AD14" s="87">
        <v>418249.91250000003</v>
      </c>
      <c r="AE14" s="73">
        <f t="shared" si="1"/>
        <v>443344.90725000005</v>
      </c>
    </row>
    <row r="15" spans="1:31" ht="12.75" customHeight="1">
      <c r="A15" s="119" t="s">
        <v>63</v>
      </c>
      <c r="B15" s="14">
        <v>179251</v>
      </c>
      <c r="C15" s="14">
        <v>196997</v>
      </c>
      <c r="D15" s="14">
        <f>208817</f>
        <v>208817</v>
      </c>
      <c r="E15" s="14">
        <f>208817*105%</f>
        <v>219257.85</v>
      </c>
      <c r="F15" s="14">
        <v>230221</v>
      </c>
      <c r="G15" s="14">
        <v>240581</v>
      </c>
      <c r="H15" s="14">
        <v>252129</v>
      </c>
      <c r="I15" s="15">
        <v>277919</v>
      </c>
      <c r="J15" s="15">
        <v>292371</v>
      </c>
      <c r="K15" s="15">
        <v>309913</v>
      </c>
      <c r="L15" s="15">
        <f t="shared" si="3"/>
        <v>331296.997</v>
      </c>
      <c r="M15" s="16">
        <f t="shared" si="4"/>
        <v>364426.69670000003</v>
      </c>
      <c r="N15" s="17">
        <v>380826</v>
      </c>
      <c r="O15" s="1">
        <v>396821</v>
      </c>
      <c r="P15" s="51">
        <v>416662.05000000005</v>
      </c>
      <c r="Q15" s="66">
        <f t="shared" si="2"/>
        <v>437495.1525000001</v>
      </c>
      <c r="R15" s="51">
        <v>459370</v>
      </c>
      <c r="S15" s="133">
        <v>486932</v>
      </c>
      <c r="T15" s="55" t="s">
        <v>7</v>
      </c>
      <c r="U15" s="59">
        <v>0.8</v>
      </c>
      <c r="V15" s="3"/>
      <c r="W15" s="3"/>
      <c r="X15" s="3"/>
      <c r="Y15" s="22"/>
      <c r="Z15" s="22"/>
      <c r="AA15" s="3"/>
      <c r="AB15" s="39"/>
      <c r="AC15" s="91"/>
      <c r="AD15" s="87">
        <v>399086</v>
      </c>
      <c r="AE15" s="73">
        <f t="shared" si="1"/>
        <v>423031.16000000003</v>
      </c>
    </row>
    <row r="16" spans="1:43" ht="12.75" customHeight="1">
      <c r="A16" s="119" t="s">
        <v>8</v>
      </c>
      <c r="B16" s="14">
        <v>171039</v>
      </c>
      <c r="C16" s="14">
        <v>187972</v>
      </c>
      <c r="D16" s="14">
        <f>199250</f>
        <v>199250</v>
      </c>
      <c r="E16" s="14">
        <f>199250*105%</f>
        <v>209212.5</v>
      </c>
      <c r="F16" s="14">
        <v>219674</v>
      </c>
      <c r="G16" s="14">
        <v>229559</v>
      </c>
      <c r="H16" s="14">
        <v>240578</v>
      </c>
      <c r="I16" s="15">
        <v>265188</v>
      </c>
      <c r="J16" s="15">
        <v>278978</v>
      </c>
      <c r="K16" s="15">
        <v>295717</v>
      </c>
      <c r="L16" s="15">
        <f t="shared" si="3"/>
        <v>316121.473</v>
      </c>
      <c r="M16" s="16">
        <v>347733</v>
      </c>
      <c r="N16" s="17">
        <v>363381</v>
      </c>
      <c r="O16" s="1">
        <v>378643</v>
      </c>
      <c r="P16" s="51">
        <v>397575.15</v>
      </c>
      <c r="Q16" s="66">
        <f t="shared" si="2"/>
        <v>417453.90750000003</v>
      </c>
      <c r="R16" s="51">
        <v>438327</v>
      </c>
      <c r="S16" s="133">
        <v>464627</v>
      </c>
      <c r="T16" s="55" t="s">
        <v>7</v>
      </c>
      <c r="U16" s="59">
        <v>0.6</v>
      </c>
      <c r="V16" s="3"/>
      <c r="W16" s="3"/>
      <c r="X16" s="3"/>
      <c r="Y16" s="22"/>
      <c r="Z16" s="22"/>
      <c r="AA16" s="3"/>
      <c r="AB16" s="39"/>
      <c r="AC16" s="91"/>
      <c r="AD16" s="87">
        <v>380812.32000000007</v>
      </c>
      <c r="AE16" s="73">
        <f t="shared" si="1"/>
        <v>403661.0592000001</v>
      </c>
      <c r="AO16" s="30"/>
      <c r="AP16" s="30"/>
      <c r="AQ16" s="30"/>
    </row>
    <row r="17" spans="1:43" ht="12.75" customHeight="1">
      <c r="A17" s="119" t="s">
        <v>9</v>
      </c>
      <c r="B17" s="14">
        <v>163206</v>
      </c>
      <c r="C17" s="14">
        <v>179363</v>
      </c>
      <c r="D17" s="14">
        <f>190125</f>
        <v>190125</v>
      </c>
      <c r="E17" s="14">
        <f>190125*105%</f>
        <v>199631.25</v>
      </c>
      <c r="F17" s="14">
        <v>209613</v>
      </c>
      <c r="G17" s="14">
        <v>219046</v>
      </c>
      <c r="H17" s="14">
        <v>229560</v>
      </c>
      <c r="I17" s="15">
        <v>253042</v>
      </c>
      <c r="J17" s="15">
        <v>266200</v>
      </c>
      <c r="K17" s="15">
        <v>282172</v>
      </c>
      <c r="L17" s="15">
        <f t="shared" si="3"/>
        <v>301641.86799999996</v>
      </c>
      <c r="M17" s="16">
        <f t="shared" si="4"/>
        <v>331806.0548</v>
      </c>
      <c r="N17" s="17">
        <v>346737</v>
      </c>
      <c r="O17" s="1">
        <v>361300</v>
      </c>
      <c r="P17" s="51">
        <v>379365</v>
      </c>
      <c r="Q17" s="66">
        <f t="shared" si="2"/>
        <v>398333.25</v>
      </c>
      <c r="R17" s="51">
        <v>418250</v>
      </c>
      <c r="S17" s="133">
        <v>443345</v>
      </c>
      <c r="T17" s="55" t="s">
        <v>7</v>
      </c>
      <c r="U17" s="59">
        <v>0.6</v>
      </c>
      <c r="V17" s="3"/>
      <c r="W17" s="3"/>
      <c r="X17" s="3"/>
      <c r="Y17" s="22"/>
      <c r="Z17" s="22"/>
      <c r="AA17" s="3"/>
      <c r="AB17" s="39"/>
      <c r="AC17" s="91"/>
      <c r="AD17" s="87">
        <v>363370.38412500004</v>
      </c>
      <c r="AE17" s="73">
        <f t="shared" si="1"/>
        <v>385172.60717250005</v>
      </c>
      <c r="AO17" s="30"/>
      <c r="AP17" s="30"/>
      <c r="AQ17" s="30"/>
    </row>
    <row r="18" spans="1:43" ht="12.75" customHeight="1">
      <c r="A18" s="119" t="s">
        <v>10</v>
      </c>
      <c r="B18" s="14">
        <v>155729</v>
      </c>
      <c r="C18" s="14">
        <v>171146</v>
      </c>
      <c r="D18" s="14">
        <f>181415</f>
        <v>181415</v>
      </c>
      <c r="E18" s="14">
        <f>181415*105%</f>
        <v>190485.75</v>
      </c>
      <c r="F18" s="14">
        <v>200010</v>
      </c>
      <c r="G18" s="14">
        <v>209010</v>
      </c>
      <c r="H18" s="14">
        <v>219042</v>
      </c>
      <c r="I18" s="15">
        <v>241448</v>
      </c>
      <c r="J18" s="15">
        <v>254003</v>
      </c>
      <c r="K18" s="15">
        <v>269243</v>
      </c>
      <c r="L18" s="15">
        <f t="shared" si="3"/>
        <v>287820.767</v>
      </c>
      <c r="M18" s="16">
        <f t="shared" si="4"/>
        <v>316602.8437</v>
      </c>
      <c r="N18" s="17">
        <v>330850</v>
      </c>
      <c r="O18" s="1">
        <v>344746</v>
      </c>
      <c r="P18" s="51">
        <v>361983.3</v>
      </c>
      <c r="Q18" s="66">
        <f t="shared" si="2"/>
        <v>380082.465</v>
      </c>
      <c r="R18" s="51">
        <v>399086</v>
      </c>
      <c r="S18" s="133">
        <v>423031</v>
      </c>
      <c r="T18" s="55" t="s">
        <v>7</v>
      </c>
      <c r="U18" s="59">
        <v>0.6</v>
      </c>
      <c r="V18" s="3"/>
      <c r="W18" s="3"/>
      <c r="X18" s="3"/>
      <c r="Y18" s="22"/>
      <c r="Z18" s="22"/>
      <c r="AA18" s="3"/>
      <c r="AB18" s="39"/>
      <c r="AC18" s="91"/>
      <c r="AD18" s="87">
        <v>346722.5790000001</v>
      </c>
      <c r="AE18" s="73">
        <f t="shared" si="1"/>
        <v>367525.9337400001</v>
      </c>
      <c r="AO18" s="30"/>
      <c r="AP18" s="30"/>
      <c r="AQ18" s="30"/>
    </row>
    <row r="19" spans="1:43" ht="12.75" customHeight="1">
      <c r="A19" s="119" t="s">
        <v>11</v>
      </c>
      <c r="B19" s="14">
        <v>148599</v>
      </c>
      <c r="C19" s="14">
        <v>163310</v>
      </c>
      <c r="D19" s="14">
        <f>173109</f>
        <v>173109</v>
      </c>
      <c r="E19" s="14">
        <f>173109*105%</f>
        <v>181764.45</v>
      </c>
      <c r="F19" s="14">
        <v>190852</v>
      </c>
      <c r="G19" s="14">
        <v>199440</v>
      </c>
      <c r="H19" s="14">
        <v>209013</v>
      </c>
      <c r="I19" s="15">
        <v>230393</v>
      </c>
      <c r="J19" s="15">
        <v>242373</v>
      </c>
      <c r="K19" s="15">
        <v>256915</v>
      </c>
      <c r="L19" s="15">
        <f t="shared" si="3"/>
        <v>274642.135</v>
      </c>
      <c r="M19" s="16">
        <f t="shared" si="4"/>
        <v>302106.3485</v>
      </c>
      <c r="N19" s="17">
        <v>315701</v>
      </c>
      <c r="O19" s="1">
        <v>328960</v>
      </c>
      <c r="P19" s="51">
        <v>345408</v>
      </c>
      <c r="Q19" s="66">
        <f t="shared" si="2"/>
        <v>362678.4</v>
      </c>
      <c r="R19" s="51">
        <v>380812</v>
      </c>
      <c r="S19" s="133">
        <v>403661</v>
      </c>
      <c r="T19" s="55" t="s">
        <v>12</v>
      </c>
      <c r="U19" s="59">
        <v>0.4</v>
      </c>
      <c r="V19" s="3"/>
      <c r="W19" s="3"/>
      <c r="X19" s="3"/>
      <c r="Y19" s="22"/>
      <c r="Z19" s="22"/>
      <c r="AA19" s="3"/>
      <c r="AB19" s="39"/>
      <c r="AC19" s="91"/>
      <c r="AO19" s="30"/>
      <c r="AP19" s="30"/>
      <c r="AQ19" s="30"/>
    </row>
    <row r="20" spans="1:43" ht="12.75" customHeight="1">
      <c r="A20" s="119" t="s">
        <v>13</v>
      </c>
      <c r="B20" s="14">
        <v>141791</v>
      </c>
      <c r="C20" s="14">
        <v>155828</v>
      </c>
      <c r="D20" s="14">
        <f>165178</f>
        <v>165178</v>
      </c>
      <c r="E20" s="14">
        <f>165178*105%</f>
        <v>173436.9</v>
      </c>
      <c r="F20" s="14">
        <v>182109</v>
      </c>
      <c r="G20" s="14">
        <v>190304</v>
      </c>
      <c r="H20" s="14">
        <v>199439</v>
      </c>
      <c r="I20" s="15">
        <v>219840</v>
      </c>
      <c r="J20" s="15">
        <v>231272</v>
      </c>
      <c r="K20" s="15">
        <v>245148</v>
      </c>
      <c r="L20" s="15">
        <f t="shared" si="3"/>
        <v>262063.212</v>
      </c>
      <c r="M20" s="16">
        <v>288269</v>
      </c>
      <c r="N20" s="17">
        <v>301241</v>
      </c>
      <c r="O20" s="1">
        <v>313893</v>
      </c>
      <c r="P20" s="51">
        <v>329587.65</v>
      </c>
      <c r="Q20" s="66">
        <f t="shared" si="2"/>
        <v>346067.03250000003</v>
      </c>
      <c r="R20" s="51">
        <v>363370</v>
      </c>
      <c r="S20" s="133">
        <v>385172</v>
      </c>
      <c r="T20" s="55" t="s">
        <v>12</v>
      </c>
      <c r="U20" s="59">
        <v>0.4</v>
      </c>
      <c r="V20" s="3"/>
      <c r="W20" s="3"/>
      <c r="X20" s="3"/>
      <c r="Y20" s="22"/>
      <c r="Z20" s="22"/>
      <c r="AA20" s="3"/>
      <c r="AB20" s="39"/>
      <c r="AC20" s="91"/>
      <c r="AO20" s="30"/>
      <c r="AP20" s="30"/>
      <c r="AQ20" s="30"/>
    </row>
    <row r="21" spans="1:43" ht="12.75" customHeight="1">
      <c r="A21" s="119" t="s">
        <v>14</v>
      </c>
      <c r="B21" s="14">
        <v>135295</v>
      </c>
      <c r="C21" s="14">
        <v>148689</v>
      </c>
      <c r="D21" s="14">
        <f>157610</f>
        <v>157610</v>
      </c>
      <c r="E21" s="14">
        <f>157610*105%</f>
        <v>165490.5</v>
      </c>
      <c r="F21" s="14">
        <v>173766</v>
      </c>
      <c r="G21" s="14">
        <v>181585</v>
      </c>
      <c r="H21" s="14">
        <v>190301</v>
      </c>
      <c r="I21" s="15">
        <v>209767</v>
      </c>
      <c r="J21" s="15">
        <v>220675</v>
      </c>
      <c r="K21" s="15">
        <v>233916</v>
      </c>
      <c r="L21" s="15">
        <f t="shared" si="3"/>
        <v>250056.204</v>
      </c>
      <c r="M21" s="16">
        <f t="shared" si="4"/>
        <v>275061.82440000004</v>
      </c>
      <c r="N21" s="17">
        <v>287440</v>
      </c>
      <c r="O21" s="1">
        <v>299512</v>
      </c>
      <c r="P21" s="51">
        <v>314487.60000000003</v>
      </c>
      <c r="Q21" s="66">
        <f t="shared" si="2"/>
        <v>330211.98000000004</v>
      </c>
      <c r="R21" s="51">
        <v>346723</v>
      </c>
      <c r="S21" s="133">
        <v>367526</v>
      </c>
      <c r="T21" s="55" t="s">
        <v>12</v>
      </c>
      <c r="U21" s="59">
        <v>0.4</v>
      </c>
      <c r="V21" s="3"/>
      <c r="W21" s="3"/>
      <c r="X21" s="3"/>
      <c r="Y21" s="22"/>
      <c r="Z21" s="22"/>
      <c r="AA21" s="3"/>
      <c r="AB21" s="39"/>
      <c r="AC21" s="91"/>
      <c r="AO21" s="30"/>
      <c r="AP21" s="30"/>
      <c r="AQ21" s="30"/>
    </row>
    <row r="22" spans="1:43" ht="12.75">
      <c r="A22" s="123" t="s">
        <v>52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9"/>
      <c r="S22" s="129"/>
      <c r="T22" s="123"/>
      <c r="U22" s="123"/>
      <c r="V22" s="3"/>
      <c r="W22" s="3"/>
      <c r="X22" s="3"/>
      <c r="Y22" s="22"/>
      <c r="Z22" s="22"/>
      <c r="AA22" s="3"/>
      <c r="AB22" s="39"/>
      <c r="AC22" s="91"/>
      <c r="AO22" s="30"/>
      <c r="AP22" s="30"/>
      <c r="AQ22" s="30"/>
    </row>
    <row r="23" spans="1:43" ht="12.75" customHeight="1">
      <c r="A23" s="119" t="s">
        <v>55</v>
      </c>
      <c r="B23" s="14">
        <v>5410</v>
      </c>
      <c r="C23" s="14">
        <v>5946</v>
      </c>
      <c r="D23" s="14">
        <f>6303</f>
        <v>6303</v>
      </c>
      <c r="E23" s="14">
        <f>6303*105%</f>
        <v>6618.150000000001</v>
      </c>
      <c r="F23" s="14">
        <v>6949</v>
      </c>
      <c r="G23" s="14">
        <v>7262</v>
      </c>
      <c r="H23" s="14">
        <v>7611</v>
      </c>
      <c r="I23" s="15">
        <v>8389</v>
      </c>
      <c r="J23" s="15">
        <v>8825</v>
      </c>
      <c r="K23" s="15">
        <v>9355</v>
      </c>
      <c r="L23" s="15">
        <f>K23*106.9%</f>
        <v>10000.494999999999</v>
      </c>
      <c r="M23" s="16">
        <v>11000</v>
      </c>
      <c r="N23" s="17">
        <v>11494</v>
      </c>
      <c r="O23" s="1">
        <v>11978</v>
      </c>
      <c r="P23" s="51">
        <v>12576.9</v>
      </c>
      <c r="Q23" s="66">
        <f>P23*105%</f>
        <v>13205.745</v>
      </c>
      <c r="R23" s="51">
        <v>13866</v>
      </c>
      <c r="S23" s="133">
        <v>14697</v>
      </c>
      <c r="T23" s="55" t="s">
        <v>5</v>
      </c>
      <c r="U23" s="54" t="s">
        <v>6</v>
      </c>
      <c r="V23" s="76"/>
      <c r="W23" s="3">
        <v>646671</v>
      </c>
      <c r="X23" s="3"/>
      <c r="Y23" s="22">
        <f>W23/44</f>
        <v>14697.068181818182</v>
      </c>
      <c r="Z23" s="22"/>
      <c r="AA23" s="3"/>
      <c r="AB23" s="39"/>
      <c r="AC23" s="91"/>
      <c r="AO23" s="30"/>
      <c r="AP23" s="30"/>
      <c r="AQ23" s="30"/>
    </row>
    <row r="24" spans="1:43" ht="12.75" customHeight="1">
      <c r="A24" s="119" t="s">
        <v>56</v>
      </c>
      <c r="B24" s="14">
        <v>4269</v>
      </c>
      <c r="C24" s="14">
        <v>4692</v>
      </c>
      <c r="D24" s="14">
        <v>4974</v>
      </c>
      <c r="E24" s="14">
        <v>5222</v>
      </c>
      <c r="F24" s="14">
        <v>5483</v>
      </c>
      <c r="G24" s="14">
        <v>5730</v>
      </c>
      <c r="H24" s="14">
        <v>6005</v>
      </c>
      <c r="I24" s="15">
        <v>6619</v>
      </c>
      <c r="J24" s="15">
        <v>6963</v>
      </c>
      <c r="K24" s="15">
        <v>7381</v>
      </c>
      <c r="L24" s="15">
        <f>K24*106.9%</f>
        <v>7890.289</v>
      </c>
      <c r="M24" s="16">
        <f t="shared" si="4"/>
        <v>8679.3179</v>
      </c>
      <c r="N24" s="17">
        <v>9070</v>
      </c>
      <c r="O24" s="1">
        <v>9451</v>
      </c>
      <c r="P24" s="51">
        <v>9923.550000000001</v>
      </c>
      <c r="Q24" s="66">
        <f>P24*105%</f>
        <v>10419.7275</v>
      </c>
      <c r="R24" s="51">
        <v>10941</v>
      </c>
      <c r="S24" s="133">
        <v>11598</v>
      </c>
      <c r="T24" s="55" t="s">
        <v>7</v>
      </c>
      <c r="U24" s="59">
        <v>0.8</v>
      </c>
      <c r="V24" s="76"/>
      <c r="W24" s="3">
        <v>510301</v>
      </c>
      <c r="X24" s="3"/>
      <c r="Y24" s="22">
        <f>W24/44</f>
        <v>11597.75</v>
      </c>
      <c r="Z24" s="22"/>
      <c r="AA24" s="3"/>
      <c r="AB24" s="39"/>
      <c r="AC24" s="91"/>
      <c r="AO24" s="30"/>
      <c r="AP24" s="30"/>
      <c r="AQ24" s="30"/>
    </row>
    <row r="25" spans="1:43" ht="12.75" customHeight="1">
      <c r="A25" s="119" t="s">
        <v>57</v>
      </c>
      <c r="B25" s="14">
        <v>3709</v>
      </c>
      <c r="C25" s="14">
        <v>4076</v>
      </c>
      <c r="D25" s="14">
        <f>4321</f>
        <v>4321</v>
      </c>
      <c r="E25" s="14">
        <f>4321*105%</f>
        <v>4537.05</v>
      </c>
      <c r="F25" s="14">
        <v>4764</v>
      </c>
      <c r="G25" s="14">
        <v>4978</v>
      </c>
      <c r="H25" s="14">
        <v>5217</v>
      </c>
      <c r="I25" s="15">
        <v>5751</v>
      </c>
      <c r="J25" s="15">
        <v>6050</v>
      </c>
      <c r="K25" s="15">
        <v>6413</v>
      </c>
      <c r="L25" s="15">
        <f>K25*106.9%</f>
        <v>6855.496999999999</v>
      </c>
      <c r="M25" s="16">
        <f t="shared" si="4"/>
        <v>7541.0467</v>
      </c>
      <c r="N25" s="17">
        <v>7880</v>
      </c>
      <c r="O25" s="1">
        <v>8211</v>
      </c>
      <c r="P25" s="51">
        <v>8621.550000000001</v>
      </c>
      <c r="Q25" s="66">
        <f>P25*105%</f>
        <v>9052.627500000002</v>
      </c>
      <c r="R25" s="51">
        <v>9505</v>
      </c>
      <c r="S25" s="133">
        <v>10076</v>
      </c>
      <c r="T25" s="55" t="s">
        <v>7</v>
      </c>
      <c r="U25" s="59">
        <v>0.6</v>
      </c>
      <c r="V25" s="76"/>
      <c r="W25" s="3">
        <v>443345</v>
      </c>
      <c r="X25" s="3"/>
      <c r="Y25" s="22">
        <f>W25/44</f>
        <v>10076.022727272728</v>
      </c>
      <c r="Z25" s="22"/>
      <c r="AA25" s="3"/>
      <c r="AB25" s="39"/>
      <c r="AC25" s="91"/>
      <c r="AO25" s="30"/>
      <c r="AP25" s="30"/>
      <c r="AQ25" s="30"/>
    </row>
    <row r="26" spans="1:43" ht="12.75" customHeight="1">
      <c r="A26" s="119" t="s">
        <v>58</v>
      </c>
      <c r="B26" s="14">
        <v>3223</v>
      </c>
      <c r="C26" s="14">
        <v>3542</v>
      </c>
      <c r="D26" s="14">
        <v>3756</v>
      </c>
      <c r="E26" s="14">
        <v>3942</v>
      </c>
      <c r="F26" s="14">
        <v>4139</v>
      </c>
      <c r="G26" s="14">
        <v>4325</v>
      </c>
      <c r="H26" s="14">
        <v>4533</v>
      </c>
      <c r="I26" s="15">
        <v>4997</v>
      </c>
      <c r="J26" s="15">
        <v>5257</v>
      </c>
      <c r="K26" s="15">
        <v>5572</v>
      </c>
      <c r="L26" s="15">
        <f>K26*106.9%</f>
        <v>5956.468</v>
      </c>
      <c r="M26" s="16">
        <f t="shared" si="4"/>
        <v>6552.1148</v>
      </c>
      <c r="N26" s="17">
        <v>6847</v>
      </c>
      <c r="O26" s="1">
        <v>7135</v>
      </c>
      <c r="P26" s="51">
        <v>7491.75</v>
      </c>
      <c r="Q26" s="66">
        <f>P26*105%</f>
        <v>7866.337500000001</v>
      </c>
      <c r="R26" s="51">
        <v>8260</v>
      </c>
      <c r="S26" s="133">
        <v>8754</v>
      </c>
      <c r="T26" s="55" t="s">
        <v>12</v>
      </c>
      <c r="U26" s="59">
        <v>0.5</v>
      </c>
      <c r="V26" s="76"/>
      <c r="W26" s="3">
        <v>385172</v>
      </c>
      <c r="X26" s="3"/>
      <c r="Y26" s="22">
        <f>W26/44</f>
        <v>8753.90909090909</v>
      </c>
      <c r="Z26" s="22"/>
      <c r="AA26" s="3"/>
      <c r="AB26" s="39"/>
      <c r="AC26" s="91"/>
      <c r="AO26" s="30"/>
      <c r="AP26" s="30"/>
      <c r="AQ26" s="30"/>
    </row>
    <row r="27" spans="1:43" ht="15" customHeight="1">
      <c r="A27" s="118" t="s">
        <v>50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28"/>
      <c r="S27" s="128"/>
      <c r="T27" s="118"/>
      <c r="U27" s="118"/>
      <c r="V27" s="3"/>
      <c r="W27" s="3"/>
      <c r="X27" s="3"/>
      <c r="Y27" s="22"/>
      <c r="Z27" s="22"/>
      <c r="AA27" s="3"/>
      <c r="AB27" s="39"/>
      <c r="AC27" s="91"/>
      <c r="AO27" s="30"/>
      <c r="AP27" s="30"/>
      <c r="AQ27" s="30"/>
    </row>
    <row r="28" spans="1:43" ht="12.75" customHeight="1">
      <c r="A28" s="119" t="s">
        <v>60</v>
      </c>
      <c r="B28" s="14">
        <v>224370</v>
      </c>
      <c r="C28" s="14">
        <v>246583</v>
      </c>
      <c r="D28" s="14">
        <f>261378</f>
        <v>261378</v>
      </c>
      <c r="E28" s="14">
        <f>261378*105%</f>
        <v>274446.9</v>
      </c>
      <c r="F28" s="14">
        <v>288169</v>
      </c>
      <c r="G28" s="14">
        <v>301137</v>
      </c>
      <c r="H28" s="14">
        <v>315592</v>
      </c>
      <c r="I28" s="15">
        <v>347875</v>
      </c>
      <c r="J28" s="15">
        <v>365965</v>
      </c>
      <c r="K28" s="15">
        <v>387923</v>
      </c>
      <c r="L28" s="15">
        <f>K28*106.9%</f>
        <v>414689.687</v>
      </c>
      <c r="M28" s="16">
        <f t="shared" si="4"/>
        <v>456158.6557</v>
      </c>
      <c r="N28" s="17">
        <v>476686</v>
      </c>
      <c r="O28" s="1">
        <v>496707</v>
      </c>
      <c r="P28" s="51">
        <v>521542.35000000003</v>
      </c>
      <c r="Q28" s="66">
        <v>547619.4675</v>
      </c>
      <c r="R28" s="51">
        <v>575000</v>
      </c>
      <c r="S28" s="133">
        <v>609500</v>
      </c>
      <c r="T28" s="55" t="s">
        <v>5</v>
      </c>
      <c r="U28" s="54" t="s">
        <v>15</v>
      </c>
      <c r="V28" s="68"/>
      <c r="W28" s="3"/>
      <c r="X28" s="3"/>
      <c r="Y28" s="22"/>
      <c r="Z28" s="22"/>
      <c r="AA28" s="3"/>
      <c r="AB28" s="39"/>
      <c r="AC28" s="91"/>
      <c r="AO28" s="30"/>
      <c r="AP28" s="30"/>
      <c r="AQ28" s="30"/>
    </row>
    <row r="29" spans="1:29" ht="12.75" customHeight="1">
      <c r="A29" s="119" t="s">
        <v>59</v>
      </c>
      <c r="B29" s="14">
        <v>211467</v>
      </c>
      <c r="C29" s="14">
        <v>232402</v>
      </c>
      <c r="D29" s="14">
        <f>246346</f>
        <v>246346</v>
      </c>
      <c r="E29" s="14">
        <f>246346*105%</f>
        <v>258663.30000000002</v>
      </c>
      <c r="F29" s="14">
        <v>271596</v>
      </c>
      <c r="G29" s="14">
        <v>283818</v>
      </c>
      <c r="H29" s="14">
        <v>297441</v>
      </c>
      <c r="I29" s="15">
        <v>327868</v>
      </c>
      <c r="J29" s="15">
        <v>344917</v>
      </c>
      <c r="K29" s="15">
        <v>365612</v>
      </c>
      <c r="L29" s="15">
        <f aca="true" t="shared" si="5" ref="L29:L55">K29*106.9%</f>
        <v>390839.228</v>
      </c>
      <c r="M29" s="16">
        <f t="shared" si="4"/>
        <v>429923.15080000006</v>
      </c>
      <c r="N29" s="17">
        <v>449270</v>
      </c>
      <c r="O29" s="1">
        <v>468139</v>
      </c>
      <c r="P29" s="51">
        <v>491545.95</v>
      </c>
      <c r="Q29" s="66">
        <v>516123.24750000006</v>
      </c>
      <c r="R29" s="51">
        <v>541929</v>
      </c>
      <c r="S29" s="133">
        <v>574445</v>
      </c>
      <c r="T29" s="55" t="s">
        <v>5</v>
      </c>
      <c r="U29" s="54" t="s">
        <v>16</v>
      </c>
      <c r="V29" s="68"/>
      <c r="W29" s="3"/>
      <c r="X29" s="3"/>
      <c r="Y29" s="22"/>
      <c r="Z29" s="22"/>
      <c r="AA29" s="3"/>
      <c r="AB29" s="39"/>
      <c r="AC29" s="91"/>
    </row>
    <row r="30" spans="1:29" ht="12.75" customHeight="1">
      <c r="A30" s="119" t="s">
        <v>61</v>
      </c>
      <c r="B30" s="14">
        <v>199310</v>
      </c>
      <c r="C30" s="14">
        <v>219042</v>
      </c>
      <c r="D30" s="14">
        <f>232185</f>
        <v>232185</v>
      </c>
      <c r="E30" s="14">
        <f>232185*105%</f>
        <v>243794.25</v>
      </c>
      <c r="F30" s="14">
        <v>255984</v>
      </c>
      <c r="G30" s="14">
        <v>267503</v>
      </c>
      <c r="H30" s="14">
        <v>280343</v>
      </c>
      <c r="I30" s="15">
        <v>309020</v>
      </c>
      <c r="J30" s="15">
        <v>325089</v>
      </c>
      <c r="K30" s="15">
        <v>344594</v>
      </c>
      <c r="L30" s="15">
        <f t="shared" si="5"/>
        <v>368370.986</v>
      </c>
      <c r="M30" s="16">
        <f t="shared" si="4"/>
        <v>405208.0846</v>
      </c>
      <c r="N30" s="17">
        <v>423442</v>
      </c>
      <c r="O30" s="1">
        <v>441227</v>
      </c>
      <c r="P30" s="51">
        <v>463288.35000000003</v>
      </c>
      <c r="Q30" s="66">
        <v>486452.7675000001</v>
      </c>
      <c r="R30" s="51">
        <v>510776</v>
      </c>
      <c r="S30" s="133">
        <v>541423</v>
      </c>
      <c r="T30" s="55" t="s">
        <v>7</v>
      </c>
      <c r="U30" s="54" t="s">
        <v>16</v>
      </c>
      <c r="V30" s="68"/>
      <c r="W30" s="3"/>
      <c r="X30" s="3"/>
      <c r="Y30" s="22"/>
      <c r="Z30" s="22"/>
      <c r="AA30" s="3"/>
      <c r="AB30" s="39"/>
      <c r="AC30" s="91"/>
    </row>
    <row r="31" spans="1:29" ht="12.75" customHeight="1">
      <c r="A31" s="119" t="s">
        <v>62</v>
      </c>
      <c r="B31" s="14">
        <v>187854</v>
      </c>
      <c r="C31" s="14">
        <v>206452</v>
      </c>
      <c r="D31" s="14">
        <f>218839</f>
        <v>218839</v>
      </c>
      <c r="E31" s="14">
        <f>218839*105%</f>
        <v>229780.95</v>
      </c>
      <c r="F31" s="14">
        <v>241270</v>
      </c>
      <c r="G31" s="14">
        <v>252127</v>
      </c>
      <c r="H31" s="14">
        <v>264229</v>
      </c>
      <c r="I31" s="15">
        <v>291258</v>
      </c>
      <c r="J31" s="15">
        <v>306403</v>
      </c>
      <c r="K31" s="15">
        <v>324787</v>
      </c>
      <c r="L31" s="15">
        <f t="shared" si="5"/>
        <v>347197.30299999996</v>
      </c>
      <c r="M31" s="16">
        <f t="shared" si="4"/>
        <v>381917.0333</v>
      </c>
      <c r="N31" s="17">
        <v>399103</v>
      </c>
      <c r="O31" s="1">
        <v>415865</v>
      </c>
      <c r="P31" s="51">
        <v>436658.25</v>
      </c>
      <c r="Q31" s="66">
        <v>458491.16250000003</v>
      </c>
      <c r="R31" s="51">
        <v>481416</v>
      </c>
      <c r="S31" s="133">
        <v>510301</v>
      </c>
      <c r="T31" s="55" t="s">
        <v>7</v>
      </c>
      <c r="U31" s="54" t="s">
        <v>17</v>
      </c>
      <c r="V31" s="68"/>
      <c r="W31" s="3"/>
      <c r="X31" s="3"/>
      <c r="Y31" s="22"/>
      <c r="Z31" s="22"/>
      <c r="AA31" s="3"/>
      <c r="AB31" s="39"/>
      <c r="AC31" s="91"/>
    </row>
    <row r="32" spans="1:29" ht="12.75" customHeight="1">
      <c r="A32" s="119" t="s">
        <v>63</v>
      </c>
      <c r="B32" s="14">
        <v>179251</v>
      </c>
      <c r="C32" s="14">
        <v>196997</v>
      </c>
      <c r="D32" s="14">
        <f>208817</f>
        <v>208817</v>
      </c>
      <c r="E32" s="14">
        <f>208817*105%</f>
        <v>219257.85</v>
      </c>
      <c r="F32" s="14">
        <v>230221</v>
      </c>
      <c r="G32" s="14">
        <v>240581</v>
      </c>
      <c r="H32" s="14">
        <v>252129</v>
      </c>
      <c r="I32" s="15">
        <v>277919</v>
      </c>
      <c r="J32" s="15">
        <v>292371</v>
      </c>
      <c r="K32" s="15">
        <v>309913</v>
      </c>
      <c r="L32" s="15">
        <f t="shared" si="5"/>
        <v>331296.997</v>
      </c>
      <c r="M32" s="16">
        <f t="shared" si="4"/>
        <v>364426.69670000003</v>
      </c>
      <c r="N32" s="17">
        <v>380826</v>
      </c>
      <c r="O32" s="1">
        <v>396821</v>
      </c>
      <c r="P32" s="51">
        <v>416662.05000000005</v>
      </c>
      <c r="Q32" s="66">
        <v>437495.1525000001</v>
      </c>
      <c r="R32" s="51">
        <v>459370</v>
      </c>
      <c r="S32" s="133">
        <v>486932</v>
      </c>
      <c r="T32" s="55" t="s">
        <v>7</v>
      </c>
      <c r="U32" s="54" t="s">
        <v>17</v>
      </c>
      <c r="V32" s="68"/>
      <c r="W32" s="3"/>
      <c r="X32" s="3"/>
      <c r="Y32" s="22"/>
      <c r="Z32" s="22"/>
      <c r="AA32" s="3"/>
      <c r="AB32" s="39"/>
      <c r="AC32" s="91"/>
    </row>
    <row r="33" spans="1:29" ht="12.75" customHeight="1">
      <c r="A33" s="119" t="s">
        <v>8</v>
      </c>
      <c r="B33" s="14">
        <v>171039</v>
      </c>
      <c r="C33" s="14">
        <v>187972</v>
      </c>
      <c r="D33" s="14">
        <f>199250</f>
        <v>199250</v>
      </c>
      <c r="E33" s="14">
        <f>199250*105%</f>
        <v>209212.5</v>
      </c>
      <c r="F33" s="14">
        <v>219674</v>
      </c>
      <c r="G33" s="14">
        <v>229559</v>
      </c>
      <c r="H33" s="14">
        <v>240578</v>
      </c>
      <c r="I33" s="15">
        <v>265188</v>
      </c>
      <c r="J33" s="15">
        <v>278978</v>
      </c>
      <c r="K33" s="15">
        <v>295717</v>
      </c>
      <c r="L33" s="15">
        <f t="shared" si="5"/>
        <v>316121.473</v>
      </c>
      <c r="M33" s="16">
        <v>347733</v>
      </c>
      <c r="N33" s="17">
        <v>363381</v>
      </c>
      <c r="O33" s="1">
        <v>378643</v>
      </c>
      <c r="P33" s="51">
        <v>397575.15</v>
      </c>
      <c r="Q33" s="66">
        <v>417453.90750000003</v>
      </c>
      <c r="R33" s="51">
        <v>438327</v>
      </c>
      <c r="S33" s="133">
        <v>464627</v>
      </c>
      <c r="T33" s="55" t="s">
        <v>7</v>
      </c>
      <c r="U33" s="54" t="s">
        <v>18</v>
      </c>
      <c r="V33" s="68"/>
      <c r="W33" s="3"/>
      <c r="X33" s="3"/>
      <c r="Y33" s="22"/>
      <c r="Z33" s="22" t="s">
        <v>95</v>
      </c>
      <c r="AA33" s="3"/>
      <c r="AB33" s="39"/>
      <c r="AC33" s="91"/>
    </row>
    <row r="34" spans="1:29" ht="12.75" customHeight="1">
      <c r="A34" s="119" t="s">
        <v>19</v>
      </c>
      <c r="B34" s="14">
        <v>163206</v>
      </c>
      <c r="C34" s="14">
        <v>179363</v>
      </c>
      <c r="D34" s="14">
        <f>190125</f>
        <v>190125</v>
      </c>
      <c r="E34" s="14">
        <f>190125*105%</f>
        <v>199631.25</v>
      </c>
      <c r="F34" s="14">
        <v>209613</v>
      </c>
      <c r="G34" s="14">
        <v>219045</v>
      </c>
      <c r="H34" s="14">
        <v>229559</v>
      </c>
      <c r="I34" s="15">
        <v>253042</v>
      </c>
      <c r="J34" s="15">
        <v>266200</v>
      </c>
      <c r="K34" s="15">
        <v>282172</v>
      </c>
      <c r="L34" s="15">
        <f t="shared" si="5"/>
        <v>301641.86799999996</v>
      </c>
      <c r="M34" s="16">
        <f t="shared" si="4"/>
        <v>331806.0548</v>
      </c>
      <c r="N34" s="17">
        <v>346737</v>
      </c>
      <c r="O34" s="1">
        <v>361300</v>
      </c>
      <c r="P34" s="51">
        <v>379365</v>
      </c>
      <c r="Q34" s="66">
        <v>398333.25</v>
      </c>
      <c r="R34" s="51">
        <v>418250</v>
      </c>
      <c r="S34" s="133">
        <v>443345</v>
      </c>
      <c r="T34" s="55" t="s">
        <v>7</v>
      </c>
      <c r="U34" s="54" t="s">
        <v>18</v>
      </c>
      <c r="V34" s="68"/>
      <c r="W34" s="3"/>
      <c r="X34" s="3"/>
      <c r="Y34" s="22"/>
      <c r="Z34" s="22"/>
      <c r="AA34" s="3"/>
      <c r="AB34" s="39"/>
      <c r="AC34" s="91"/>
    </row>
    <row r="35" spans="1:29" ht="12.75" customHeight="1">
      <c r="A35" s="119" t="s">
        <v>10</v>
      </c>
      <c r="B35" s="14">
        <v>155729</v>
      </c>
      <c r="C35" s="14">
        <v>171146</v>
      </c>
      <c r="D35" s="14">
        <f>181415</f>
        <v>181415</v>
      </c>
      <c r="E35" s="14">
        <f>181415*105%</f>
        <v>190485.75</v>
      </c>
      <c r="F35" s="14">
        <v>200010</v>
      </c>
      <c r="G35" s="14">
        <v>209010</v>
      </c>
      <c r="H35" s="14">
        <v>219042</v>
      </c>
      <c r="I35" s="15">
        <v>241448</v>
      </c>
      <c r="J35" s="15">
        <v>254003</v>
      </c>
      <c r="K35" s="15">
        <v>269243</v>
      </c>
      <c r="L35" s="15">
        <f t="shared" si="5"/>
        <v>287820.767</v>
      </c>
      <c r="M35" s="16">
        <f t="shared" si="4"/>
        <v>316602.8437</v>
      </c>
      <c r="N35" s="17">
        <v>330850</v>
      </c>
      <c r="O35" s="1">
        <v>344746</v>
      </c>
      <c r="P35" s="51">
        <v>361983.3</v>
      </c>
      <c r="Q35" s="66">
        <v>380082.465</v>
      </c>
      <c r="R35" s="51">
        <v>399086</v>
      </c>
      <c r="S35" s="133">
        <v>423031</v>
      </c>
      <c r="T35" s="55" t="s">
        <v>7</v>
      </c>
      <c r="U35" s="54" t="s">
        <v>18</v>
      </c>
      <c r="V35" s="68"/>
      <c r="W35" s="3"/>
      <c r="X35" s="3"/>
      <c r="Y35" s="22"/>
      <c r="Z35" s="22"/>
      <c r="AA35" s="3"/>
      <c r="AB35" s="39"/>
      <c r="AC35" s="91"/>
    </row>
    <row r="36" spans="1:29" ht="12.75" customHeight="1">
      <c r="A36" s="119" t="s">
        <v>11</v>
      </c>
      <c r="B36" s="14">
        <v>148599</v>
      </c>
      <c r="C36" s="14">
        <v>163310</v>
      </c>
      <c r="D36" s="14">
        <f>173109</f>
        <v>173109</v>
      </c>
      <c r="E36" s="14">
        <f>173109*105%</f>
        <v>181764.45</v>
      </c>
      <c r="F36" s="14">
        <v>190852</v>
      </c>
      <c r="G36" s="14">
        <v>199440</v>
      </c>
      <c r="H36" s="14">
        <v>209013</v>
      </c>
      <c r="I36" s="15">
        <v>230393</v>
      </c>
      <c r="J36" s="15">
        <v>242373</v>
      </c>
      <c r="K36" s="15">
        <v>256915</v>
      </c>
      <c r="L36" s="15">
        <f t="shared" si="5"/>
        <v>274642.135</v>
      </c>
      <c r="M36" s="16">
        <f t="shared" si="4"/>
        <v>302106.3485</v>
      </c>
      <c r="N36" s="16">
        <v>315701</v>
      </c>
      <c r="O36" s="51">
        <v>328960</v>
      </c>
      <c r="P36" s="51">
        <v>345408</v>
      </c>
      <c r="Q36" s="66">
        <v>362678.4</v>
      </c>
      <c r="R36" s="51">
        <v>380812</v>
      </c>
      <c r="S36" s="133">
        <v>403661</v>
      </c>
      <c r="T36" s="55" t="s">
        <v>12</v>
      </c>
      <c r="U36" s="54" t="s">
        <v>20</v>
      </c>
      <c r="V36" s="68"/>
      <c r="W36" s="3"/>
      <c r="X36" s="3"/>
      <c r="Y36" s="22"/>
      <c r="Z36" s="22"/>
      <c r="AA36" s="3"/>
      <c r="AB36" s="39"/>
      <c r="AC36" s="91"/>
    </row>
    <row r="37" spans="1:29" ht="12.75" customHeight="1">
      <c r="A37" s="119" t="s">
        <v>13</v>
      </c>
      <c r="B37" s="14">
        <v>141791</v>
      </c>
      <c r="C37" s="14">
        <v>155828</v>
      </c>
      <c r="D37" s="14">
        <f>165178</f>
        <v>165178</v>
      </c>
      <c r="E37" s="14">
        <f>165178*105%</f>
        <v>173436.9</v>
      </c>
      <c r="F37" s="14">
        <v>182109</v>
      </c>
      <c r="G37" s="14">
        <v>190304</v>
      </c>
      <c r="H37" s="14">
        <v>199439</v>
      </c>
      <c r="I37" s="15">
        <v>219840</v>
      </c>
      <c r="J37" s="15">
        <v>231272</v>
      </c>
      <c r="K37" s="15">
        <v>245148</v>
      </c>
      <c r="L37" s="15">
        <f t="shared" si="5"/>
        <v>262063.212</v>
      </c>
      <c r="M37" s="16">
        <v>288269</v>
      </c>
      <c r="N37" s="16">
        <v>301241</v>
      </c>
      <c r="O37" s="51">
        <v>313893</v>
      </c>
      <c r="P37" s="51">
        <v>329587.65</v>
      </c>
      <c r="Q37" s="66">
        <v>346067.03250000003</v>
      </c>
      <c r="R37" s="51">
        <v>363370</v>
      </c>
      <c r="S37" s="133">
        <v>385172</v>
      </c>
      <c r="T37" s="55" t="s">
        <v>12</v>
      </c>
      <c r="U37" s="54" t="s">
        <v>20</v>
      </c>
      <c r="V37" s="68"/>
      <c r="W37" s="3"/>
      <c r="X37" s="3"/>
      <c r="Y37" s="22"/>
      <c r="Z37" s="22"/>
      <c r="AA37" s="3"/>
      <c r="AB37" s="39"/>
      <c r="AC37" s="91"/>
    </row>
    <row r="38" spans="1:29" ht="12.75" customHeight="1">
      <c r="A38" s="119" t="s">
        <v>21</v>
      </c>
      <c r="B38" s="14">
        <v>135295</v>
      </c>
      <c r="C38" s="14">
        <v>148689</v>
      </c>
      <c r="D38" s="14">
        <f>157610</f>
        <v>157610</v>
      </c>
      <c r="E38" s="14">
        <f>157610*105%</f>
        <v>165490.5</v>
      </c>
      <c r="F38" s="14">
        <v>173766</v>
      </c>
      <c r="G38" s="14">
        <v>181585</v>
      </c>
      <c r="H38" s="14">
        <v>190301</v>
      </c>
      <c r="I38" s="15">
        <v>209767</v>
      </c>
      <c r="J38" s="15">
        <v>220675</v>
      </c>
      <c r="K38" s="15">
        <v>233916</v>
      </c>
      <c r="L38" s="15">
        <f t="shared" si="5"/>
        <v>250056.204</v>
      </c>
      <c r="M38" s="16">
        <f t="shared" si="4"/>
        <v>275061.82440000004</v>
      </c>
      <c r="N38" s="17">
        <v>287440</v>
      </c>
      <c r="O38" s="1">
        <v>299512</v>
      </c>
      <c r="P38" s="51">
        <v>314487.60000000003</v>
      </c>
      <c r="Q38" s="66">
        <v>330211.98000000004</v>
      </c>
      <c r="R38" s="51">
        <v>346723</v>
      </c>
      <c r="S38" s="133">
        <v>367526</v>
      </c>
      <c r="T38" s="55" t="s">
        <v>12</v>
      </c>
      <c r="U38" s="54" t="s">
        <v>20</v>
      </c>
      <c r="V38" s="68"/>
      <c r="W38" s="3"/>
      <c r="X38" s="3"/>
      <c r="Y38" s="22"/>
      <c r="Z38" s="22"/>
      <c r="AA38" s="3"/>
      <c r="AB38" s="39"/>
      <c r="AC38" s="91"/>
    </row>
    <row r="39" spans="1:29" ht="12.75" customHeight="1">
      <c r="A39" s="119" t="s">
        <v>22</v>
      </c>
      <c r="B39" s="14">
        <v>129283</v>
      </c>
      <c r="C39" s="14">
        <v>142082</v>
      </c>
      <c r="D39" s="14">
        <f>150607</f>
        <v>150607</v>
      </c>
      <c r="E39" s="14">
        <f>150607*105%</f>
        <v>158137.35</v>
      </c>
      <c r="F39" s="14">
        <v>166044</v>
      </c>
      <c r="G39" s="14">
        <v>173516</v>
      </c>
      <c r="H39" s="14">
        <v>181845</v>
      </c>
      <c r="I39" s="15">
        <v>200446</v>
      </c>
      <c r="J39" s="15">
        <v>210869</v>
      </c>
      <c r="K39" s="15">
        <v>223521</v>
      </c>
      <c r="L39" s="15">
        <f t="shared" si="5"/>
        <v>238943.949</v>
      </c>
      <c r="M39" s="16">
        <f t="shared" si="4"/>
        <v>262838.34390000004</v>
      </c>
      <c r="N39" s="17">
        <v>274666</v>
      </c>
      <c r="O39" s="1">
        <v>286202</v>
      </c>
      <c r="P39" s="51">
        <v>300512.10000000003</v>
      </c>
      <c r="Q39" s="66">
        <v>315537.7050000001</v>
      </c>
      <c r="R39" s="51">
        <v>331315</v>
      </c>
      <c r="S39" s="133">
        <v>351194</v>
      </c>
      <c r="T39" s="55" t="s">
        <v>12</v>
      </c>
      <c r="U39" s="54" t="s">
        <v>20</v>
      </c>
      <c r="V39" s="68"/>
      <c r="W39" s="3"/>
      <c r="X39" s="3"/>
      <c r="Y39" s="22"/>
      <c r="Z39" s="22"/>
      <c r="AA39" s="3"/>
      <c r="AB39" s="39"/>
      <c r="AC39" s="91"/>
    </row>
    <row r="40" spans="1:29" ht="12.75" customHeight="1">
      <c r="A40" s="119" t="s">
        <v>23</v>
      </c>
      <c r="B40" s="14">
        <v>124310</v>
      </c>
      <c r="C40" s="14">
        <v>136617</v>
      </c>
      <c r="D40" s="14">
        <f>144814</f>
        <v>144814</v>
      </c>
      <c r="E40" s="14">
        <f>144814*105%</f>
        <v>152054.7</v>
      </c>
      <c r="F40" s="14">
        <v>159658</v>
      </c>
      <c r="G40" s="14">
        <v>166843</v>
      </c>
      <c r="H40" s="14">
        <v>174851</v>
      </c>
      <c r="I40" s="15">
        <v>192737</v>
      </c>
      <c r="J40" s="15">
        <v>202759.32400000002</v>
      </c>
      <c r="K40" s="15">
        <v>214925</v>
      </c>
      <c r="L40" s="15">
        <f t="shared" si="5"/>
        <v>229754.82499999998</v>
      </c>
      <c r="M40" s="16">
        <f t="shared" si="4"/>
        <v>252730.3075</v>
      </c>
      <c r="N40" s="17">
        <v>264104</v>
      </c>
      <c r="O40" s="1">
        <v>275196</v>
      </c>
      <c r="P40" s="51">
        <v>288955.8</v>
      </c>
      <c r="Q40" s="66">
        <v>303403.59</v>
      </c>
      <c r="R40" s="51">
        <v>318574</v>
      </c>
      <c r="S40" s="133">
        <v>337688</v>
      </c>
      <c r="T40" s="55" t="s">
        <v>12</v>
      </c>
      <c r="U40" s="54" t="s">
        <v>24</v>
      </c>
      <c r="V40" s="68"/>
      <c r="W40" s="3"/>
      <c r="X40" s="3"/>
      <c r="Y40" s="22"/>
      <c r="Z40" s="22"/>
      <c r="AA40" s="3"/>
      <c r="AB40" s="39"/>
      <c r="AC40" s="91"/>
    </row>
    <row r="41" spans="1:29" ht="12.75" customHeight="1">
      <c r="A41" s="119" t="s">
        <v>25</v>
      </c>
      <c r="B41" s="14">
        <v>119530</v>
      </c>
      <c r="C41" s="14">
        <v>131363</v>
      </c>
      <c r="D41" s="14">
        <f>139245</f>
        <v>139245</v>
      </c>
      <c r="E41" s="14">
        <f>139245*105%</f>
        <v>146207.25</v>
      </c>
      <c r="F41" s="14">
        <v>153517</v>
      </c>
      <c r="G41" s="14">
        <v>160425</v>
      </c>
      <c r="H41" s="14">
        <v>168125</v>
      </c>
      <c r="I41" s="15">
        <v>185323</v>
      </c>
      <c r="J41" s="15">
        <v>194960</v>
      </c>
      <c r="K41" s="15">
        <v>206658</v>
      </c>
      <c r="L41" s="15">
        <f t="shared" si="5"/>
        <v>220917.402</v>
      </c>
      <c r="M41" s="16">
        <f t="shared" si="4"/>
        <v>243009.14220000003</v>
      </c>
      <c r="N41" s="17">
        <v>253944</v>
      </c>
      <c r="O41" s="1">
        <v>264610</v>
      </c>
      <c r="P41" s="51">
        <v>277840.5</v>
      </c>
      <c r="Q41" s="66">
        <v>291732.525</v>
      </c>
      <c r="R41" s="51">
        <v>306320</v>
      </c>
      <c r="S41" s="133">
        <v>324699</v>
      </c>
      <c r="T41" s="55" t="s">
        <v>26</v>
      </c>
      <c r="U41" s="54" t="s">
        <v>24</v>
      </c>
      <c r="V41" s="68"/>
      <c r="W41" s="3"/>
      <c r="X41" s="3"/>
      <c r="Y41" s="22"/>
      <c r="Z41" s="22"/>
      <c r="AA41" s="3"/>
      <c r="AB41" s="39"/>
      <c r="AC41" s="91"/>
    </row>
    <row r="42" spans="1:29" ht="12.75" customHeight="1">
      <c r="A42" s="119" t="s">
        <v>27</v>
      </c>
      <c r="B42" s="14">
        <v>114933</v>
      </c>
      <c r="C42" s="14">
        <v>126311</v>
      </c>
      <c r="D42" s="14">
        <f>133890</f>
        <v>133890</v>
      </c>
      <c r="E42" s="14">
        <f>133890*105%</f>
        <v>140584.5</v>
      </c>
      <c r="F42" s="14">
        <v>147614</v>
      </c>
      <c r="G42" s="14">
        <v>154257</v>
      </c>
      <c r="H42" s="14">
        <v>161661</v>
      </c>
      <c r="I42" s="15">
        <v>178198</v>
      </c>
      <c r="J42" s="15">
        <v>187464</v>
      </c>
      <c r="K42" s="15">
        <v>198712</v>
      </c>
      <c r="L42" s="15">
        <f t="shared" si="5"/>
        <v>212423.128</v>
      </c>
      <c r="M42" s="16">
        <f t="shared" si="4"/>
        <v>233665.4408</v>
      </c>
      <c r="N42" s="17">
        <v>244180</v>
      </c>
      <c r="O42" s="1">
        <v>254436</v>
      </c>
      <c r="P42" s="51">
        <v>267157.8</v>
      </c>
      <c r="Q42" s="66">
        <v>280515.69</v>
      </c>
      <c r="R42" s="51">
        <v>294542</v>
      </c>
      <c r="S42" s="133">
        <v>312215</v>
      </c>
      <c r="T42" s="55" t="s">
        <v>26</v>
      </c>
      <c r="U42" s="54" t="s">
        <v>24</v>
      </c>
      <c r="V42" s="68"/>
      <c r="W42" s="3"/>
      <c r="X42" s="3"/>
      <c r="Y42" s="22"/>
      <c r="Z42" s="22"/>
      <c r="AA42" s="3"/>
      <c r="AB42" s="39"/>
      <c r="AC42" s="91"/>
    </row>
    <row r="43" spans="1:29" ht="12.75" customHeight="1">
      <c r="A43" s="119" t="s">
        <v>28</v>
      </c>
      <c r="B43" s="14">
        <v>110513</v>
      </c>
      <c r="C43" s="14">
        <v>121454</v>
      </c>
      <c r="D43" s="14">
        <f>128741</f>
        <v>128741</v>
      </c>
      <c r="E43" s="14">
        <f>128741*105%</f>
        <v>135178.05000000002</v>
      </c>
      <c r="F43" s="14">
        <v>141937</v>
      </c>
      <c r="G43" s="14">
        <v>148324</v>
      </c>
      <c r="H43" s="14">
        <v>155444</v>
      </c>
      <c r="I43" s="15">
        <v>171345</v>
      </c>
      <c r="J43" s="15">
        <v>180255</v>
      </c>
      <c r="K43" s="15">
        <v>191070</v>
      </c>
      <c r="L43" s="15">
        <f t="shared" si="5"/>
        <v>204253.83</v>
      </c>
      <c r="M43" s="16">
        <f t="shared" si="4"/>
        <v>224679.21300000002</v>
      </c>
      <c r="N43" s="17">
        <v>234790</v>
      </c>
      <c r="O43" s="1">
        <v>244651</v>
      </c>
      <c r="P43" s="51">
        <v>256883.55000000002</v>
      </c>
      <c r="Q43" s="66">
        <v>269727.72750000004</v>
      </c>
      <c r="R43" s="51">
        <v>283214</v>
      </c>
      <c r="S43" s="133">
        <v>300207</v>
      </c>
      <c r="T43" s="55" t="s">
        <v>26</v>
      </c>
      <c r="U43" s="54" t="s">
        <v>24</v>
      </c>
      <c r="V43" s="68"/>
      <c r="W43" s="3"/>
      <c r="X43" s="3"/>
      <c r="Y43" s="22"/>
      <c r="Z43" s="22"/>
      <c r="AA43" s="3"/>
      <c r="AB43" s="39"/>
      <c r="AC43" s="91"/>
    </row>
    <row r="44" spans="1:29" ht="12.75" customHeight="1">
      <c r="A44" s="119" t="s">
        <v>29</v>
      </c>
      <c r="B44" s="14">
        <v>105250</v>
      </c>
      <c r="C44" s="14">
        <v>115670</v>
      </c>
      <c r="D44" s="14">
        <f>122610</f>
        <v>122610</v>
      </c>
      <c r="E44" s="14">
        <f>122610*105%</f>
        <v>128740.5</v>
      </c>
      <c r="F44" s="14">
        <v>135178</v>
      </c>
      <c r="G44" s="14">
        <v>141261</v>
      </c>
      <c r="H44" s="14">
        <v>148042</v>
      </c>
      <c r="I44" s="15">
        <v>163186</v>
      </c>
      <c r="J44" s="15">
        <v>171672</v>
      </c>
      <c r="K44" s="15">
        <v>181972</v>
      </c>
      <c r="L44" s="15">
        <f t="shared" si="5"/>
        <v>194528.068</v>
      </c>
      <c r="M44" s="16">
        <f t="shared" si="4"/>
        <v>213980.87480000002</v>
      </c>
      <c r="N44" s="17">
        <v>223610</v>
      </c>
      <c r="O44" s="1">
        <v>233002</v>
      </c>
      <c r="P44" s="51">
        <v>244652.1</v>
      </c>
      <c r="Q44" s="66">
        <v>256884.70500000002</v>
      </c>
      <c r="R44" s="51">
        <v>269729</v>
      </c>
      <c r="S44" s="133">
        <v>285913</v>
      </c>
      <c r="T44" s="55" t="s">
        <v>26</v>
      </c>
      <c r="U44" s="54" t="s">
        <v>30</v>
      </c>
      <c r="V44" s="68"/>
      <c r="W44" s="3"/>
      <c r="X44" s="3"/>
      <c r="Y44" s="22"/>
      <c r="Z44" s="22"/>
      <c r="AA44" s="3"/>
      <c r="AB44" s="39"/>
      <c r="AC44" s="91"/>
    </row>
    <row r="45" spans="1:29" ht="12.75" customHeight="1">
      <c r="A45" s="119" t="s">
        <v>31</v>
      </c>
      <c r="B45" s="14">
        <v>100237</v>
      </c>
      <c r="C45" s="14">
        <v>110160</v>
      </c>
      <c r="D45" s="14">
        <f>116770</f>
        <v>116770</v>
      </c>
      <c r="E45" s="14">
        <f>116770*105%</f>
        <v>122608.5</v>
      </c>
      <c r="F45" s="14">
        <v>128739</v>
      </c>
      <c r="G45" s="14">
        <v>134532</v>
      </c>
      <c r="H45" s="14">
        <v>140990</v>
      </c>
      <c r="I45" s="15">
        <v>155412</v>
      </c>
      <c r="J45" s="15">
        <v>163493</v>
      </c>
      <c r="K45" s="15">
        <v>173303</v>
      </c>
      <c r="L45" s="15">
        <f t="shared" si="5"/>
        <v>185260.90699999998</v>
      </c>
      <c r="M45" s="16">
        <f t="shared" si="4"/>
        <v>203786.99769999998</v>
      </c>
      <c r="N45" s="17">
        <v>212957</v>
      </c>
      <c r="O45" s="1">
        <v>221901</v>
      </c>
      <c r="P45" s="51">
        <v>232996.05000000002</v>
      </c>
      <c r="Q45" s="66">
        <v>244645.85250000004</v>
      </c>
      <c r="R45" s="51">
        <v>256878</v>
      </c>
      <c r="S45" s="133">
        <v>272291</v>
      </c>
      <c r="T45" s="55" t="s">
        <v>26</v>
      </c>
      <c r="U45" s="54" t="s">
        <v>30</v>
      </c>
      <c r="V45" s="68"/>
      <c r="W45" s="3"/>
      <c r="X45" s="3"/>
      <c r="Y45" s="22"/>
      <c r="Z45" s="22"/>
      <c r="AA45" s="3"/>
      <c r="AB45" s="39"/>
      <c r="AC45" s="91"/>
    </row>
    <row r="46" spans="1:29" ht="12.75" customHeight="1">
      <c r="A46" s="119" t="s">
        <v>32</v>
      </c>
      <c r="B46" s="14">
        <v>95466</v>
      </c>
      <c r="C46" s="14">
        <v>104917</v>
      </c>
      <c r="D46" s="14">
        <f>111212</f>
        <v>111212</v>
      </c>
      <c r="E46" s="14">
        <f>111212*105%</f>
        <v>116772.6</v>
      </c>
      <c r="F46" s="14">
        <v>122612</v>
      </c>
      <c r="G46" s="14">
        <v>128130</v>
      </c>
      <c r="H46" s="14">
        <v>134280</v>
      </c>
      <c r="I46" s="15">
        <v>148015</v>
      </c>
      <c r="J46" s="15">
        <v>155712</v>
      </c>
      <c r="K46" s="15">
        <v>165055</v>
      </c>
      <c r="L46" s="15">
        <f t="shared" si="5"/>
        <v>176443.79499999998</v>
      </c>
      <c r="M46" s="16">
        <f t="shared" si="4"/>
        <v>194088.1745</v>
      </c>
      <c r="N46" s="17">
        <v>202822</v>
      </c>
      <c r="O46" s="1">
        <v>211341</v>
      </c>
      <c r="P46" s="51">
        <v>221908.05000000002</v>
      </c>
      <c r="Q46" s="66">
        <v>233003.4525</v>
      </c>
      <c r="R46" s="51">
        <v>244653</v>
      </c>
      <c r="S46" s="133">
        <v>259332</v>
      </c>
      <c r="T46" s="55" t="s">
        <v>26</v>
      </c>
      <c r="U46" s="54" t="s">
        <v>30</v>
      </c>
      <c r="V46" s="68"/>
      <c r="W46" s="3"/>
      <c r="X46" s="3"/>
      <c r="Y46" s="22"/>
      <c r="Z46" s="22"/>
      <c r="AA46" s="3"/>
      <c r="AB46" s="39"/>
      <c r="AC46" s="91"/>
    </row>
    <row r="47" spans="1:29" ht="12.75" customHeight="1">
      <c r="A47" s="119" t="s">
        <v>33</v>
      </c>
      <c r="B47" s="14">
        <v>90060</v>
      </c>
      <c r="C47" s="14">
        <v>98976</v>
      </c>
      <c r="D47" s="14">
        <f>104915</f>
        <v>104915</v>
      </c>
      <c r="E47" s="14">
        <f>104915*105%</f>
        <v>110160.75</v>
      </c>
      <c r="F47" s="14">
        <v>115669</v>
      </c>
      <c r="G47" s="14">
        <v>120874</v>
      </c>
      <c r="H47" s="14">
        <v>126676</v>
      </c>
      <c r="I47" s="15">
        <v>139634</v>
      </c>
      <c r="J47" s="15">
        <v>146895</v>
      </c>
      <c r="K47" s="15">
        <v>155709</v>
      </c>
      <c r="L47" s="15">
        <f t="shared" si="5"/>
        <v>166452.921</v>
      </c>
      <c r="M47" s="16">
        <f t="shared" si="4"/>
        <v>183098.21310000002</v>
      </c>
      <c r="N47" s="17">
        <v>191337</v>
      </c>
      <c r="O47" s="1">
        <v>199373</v>
      </c>
      <c r="P47" s="51">
        <v>209341.65000000002</v>
      </c>
      <c r="Q47" s="66">
        <v>219808.73250000004</v>
      </c>
      <c r="R47" s="51">
        <v>230799</v>
      </c>
      <c r="S47" s="133">
        <v>244647</v>
      </c>
      <c r="T47" s="56"/>
      <c r="U47" s="54" t="s">
        <v>30</v>
      </c>
      <c r="V47" s="68"/>
      <c r="W47" s="3"/>
      <c r="X47" s="3"/>
      <c r="Y47" s="22"/>
      <c r="Z47" s="22"/>
      <c r="AA47" s="3"/>
      <c r="AB47" s="39"/>
      <c r="AC47" s="91"/>
    </row>
    <row r="48" spans="1:29" ht="12.75" customHeight="1">
      <c r="A48" s="119" t="s">
        <v>34</v>
      </c>
      <c r="B48" s="14">
        <v>84963</v>
      </c>
      <c r="C48" s="14">
        <v>93374</v>
      </c>
      <c r="D48" s="14">
        <f>98976</f>
        <v>98976</v>
      </c>
      <c r="E48" s="14">
        <f>98976*105%</f>
        <v>103924.8</v>
      </c>
      <c r="F48" s="14">
        <v>109121</v>
      </c>
      <c r="G48" s="14">
        <v>114031</v>
      </c>
      <c r="H48" s="14">
        <v>119504</v>
      </c>
      <c r="I48" s="15">
        <v>131728</v>
      </c>
      <c r="J48" s="15">
        <v>138578</v>
      </c>
      <c r="K48" s="15">
        <v>146893</v>
      </c>
      <c r="L48" s="15">
        <f t="shared" si="5"/>
        <v>157028.617</v>
      </c>
      <c r="M48" s="16">
        <v>172732</v>
      </c>
      <c r="N48" s="16">
        <v>180505</v>
      </c>
      <c r="O48" s="51">
        <v>188086</v>
      </c>
      <c r="P48" s="51">
        <v>197490.30000000002</v>
      </c>
      <c r="Q48" s="66">
        <v>207364.81500000003</v>
      </c>
      <c r="R48" s="51">
        <v>217733</v>
      </c>
      <c r="S48" s="133">
        <v>230797</v>
      </c>
      <c r="T48" s="56"/>
      <c r="U48" s="54" t="s">
        <v>30</v>
      </c>
      <c r="V48" s="68"/>
      <c r="W48" s="3"/>
      <c r="X48" s="3"/>
      <c r="Y48" s="22"/>
      <c r="Z48" s="22"/>
      <c r="AA48" s="3"/>
      <c r="AB48" s="39"/>
      <c r="AC48" s="91"/>
    </row>
    <row r="49" spans="1:29" ht="12.75" customHeight="1">
      <c r="A49" s="119" t="s">
        <v>35</v>
      </c>
      <c r="B49" s="14">
        <v>79778</v>
      </c>
      <c r="C49" s="14">
        <v>87676</v>
      </c>
      <c r="D49" s="14">
        <f>92937</f>
        <v>92937</v>
      </c>
      <c r="E49" s="14">
        <f>92937*105%</f>
        <v>97583.85</v>
      </c>
      <c r="F49" s="14">
        <v>102463</v>
      </c>
      <c r="G49" s="14">
        <v>107074</v>
      </c>
      <c r="H49" s="14">
        <v>112214</v>
      </c>
      <c r="I49" s="15">
        <v>123693</v>
      </c>
      <c r="J49" s="15">
        <v>130125</v>
      </c>
      <c r="K49" s="15">
        <v>137933</v>
      </c>
      <c r="L49" s="15">
        <f t="shared" si="5"/>
        <v>147450.377</v>
      </c>
      <c r="M49" s="16">
        <f t="shared" si="4"/>
        <v>162195.41470000002</v>
      </c>
      <c r="N49" s="17">
        <v>169494</v>
      </c>
      <c r="O49" s="1">
        <v>176613</v>
      </c>
      <c r="P49" s="51">
        <v>185443.65</v>
      </c>
      <c r="Q49" s="66">
        <v>194715.8325</v>
      </c>
      <c r="R49" s="51">
        <v>204452</v>
      </c>
      <c r="S49" s="133">
        <v>216719</v>
      </c>
      <c r="T49" s="56"/>
      <c r="U49" s="54" t="s">
        <v>36</v>
      </c>
      <c r="V49" s="68"/>
      <c r="W49" s="3"/>
      <c r="X49" s="3"/>
      <c r="Y49" s="22"/>
      <c r="Z49" s="22"/>
      <c r="AA49" s="3"/>
      <c r="AB49" s="39"/>
      <c r="AC49" s="91"/>
    </row>
    <row r="50" spans="1:29" ht="12.75" customHeight="1">
      <c r="A50" s="119" t="s">
        <v>37</v>
      </c>
      <c r="B50" s="14">
        <v>74908</v>
      </c>
      <c r="C50" s="14">
        <v>82324</v>
      </c>
      <c r="D50" s="14">
        <f>87263</f>
        <v>87263</v>
      </c>
      <c r="E50" s="14">
        <f>87263*105%</f>
        <v>91626.15000000001</v>
      </c>
      <c r="F50" s="14">
        <v>96207</v>
      </c>
      <c r="G50" s="14">
        <v>100536</v>
      </c>
      <c r="H50" s="14">
        <v>105362</v>
      </c>
      <c r="I50" s="15">
        <v>116140</v>
      </c>
      <c r="J50" s="15">
        <v>122179</v>
      </c>
      <c r="K50" s="15">
        <v>129510</v>
      </c>
      <c r="L50" s="15">
        <f t="shared" si="5"/>
        <v>138446.19</v>
      </c>
      <c r="M50" s="16">
        <f t="shared" si="4"/>
        <v>152290.809</v>
      </c>
      <c r="N50" s="17">
        <v>159144</v>
      </c>
      <c r="O50" s="1">
        <v>165828</v>
      </c>
      <c r="P50" s="51">
        <v>174119.4</v>
      </c>
      <c r="Q50" s="66">
        <v>182825.37</v>
      </c>
      <c r="R50" s="51">
        <v>191966</v>
      </c>
      <c r="S50" s="133">
        <v>203484</v>
      </c>
      <c r="T50" s="56"/>
      <c r="U50" s="54" t="s">
        <v>36</v>
      </c>
      <c r="V50" s="68"/>
      <c r="W50" s="3"/>
      <c r="X50" s="3"/>
      <c r="Y50" s="22"/>
      <c r="Z50" s="22"/>
      <c r="AA50" s="3"/>
      <c r="AB50" s="39"/>
      <c r="AC50" s="91"/>
    </row>
    <row r="51" spans="1:29" ht="12.75" customHeight="1">
      <c r="A51" s="119" t="s">
        <v>38</v>
      </c>
      <c r="B51" s="14">
        <v>70337</v>
      </c>
      <c r="C51" s="14">
        <v>77300</v>
      </c>
      <c r="D51" s="14">
        <f>81938</f>
        <v>81938</v>
      </c>
      <c r="E51" s="14">
        <f>81938*105%</f>
        <v>86034.90000000001</v>
      </c>
      <c r="F51" s="14">
        <v>90337</v>
      </c>
      <c r="G51" s="14">
        <v>94402</v>
      </c>
      <c r="H51" s="14">
        <v>98933</v>
      </c>
      <c r="I51" s="15">
        <v>109054</v>
      </c>
      <c r="J51" s="15">
        <v>114725</v>
      </c>
      <c r="K51" s="15">
        <v>121609</v>
      </c>
      <c r="L51" s="15">
        <f t="shared" si="5"/>
        <v>130000.021</v>
      </c>
      <c r="M51" s="16">
        <f t="shared" si="4"/>
        <v>143000.0231</v>
      </c>
      <c r="N51" s="17">
        <v>149435</v>
      </c>
      <c r="O51" s="1">
        <v>155711</v>
      </c>
      <c r="P51" s="51">
        <v>163496.55000000002</v>
      </c>
      <c r="Q51" s="66">
        <v>171671.37750000003</v>
      </c>
      <c r="R51" s="51">
        <v>180255</v>
      </c>
      <c r="S51" s="133">
        <v>191070</v>
      </c>
      <c r="T51" s="56"/>
      <c r="U51" s="54" t="s">
        <v>39</v>
      </c>
      <c r="V51" s="68"/>
      <c r="W51" s="3"/>
      <c r="X51" s="3"/>
      <c r="Y51" s="22"/>
      <c r="Z51" s="22"/>
      <c r="AA51" s="3"/>
      <c r="AB51" s="39"/>
      <c r="AC51" s="91"/>
    </row>
    <row r="52" spans="1:29" ht="12.75" customHeight="1">
      <c r="A52" s="119" t="s">
        <v>40</v>
      </c>
      <c r="B52" s="14">
        <v>66045</v>
      </c>
      <c r="C52" s="14">
        <v>72583</v>
      </c>
      <c r="D52" s="14">
        <f>76938</f>
        <v>76938</v>
      </c>
      <c r="E52" s="14">
        <f>76938*105%</f>
        <v>80784.90000000001</v>
      </c>
      <c r="F52" s="14">
        <v>84824</v>
      </c>
      <c r="G52" s="14">
        <v>88641</v>
      </c>
      <c r="H52" s="14">
        <v>92896</v>
      </c>
      <c r="I52" s="15">
        <v>102399</v>
      </c>
      <c r="J52" s="15">
        <v>107724</v>
      </c>
      <c r="K52" s="15">
        <v>114187</v>
      </c>
      <c r="L52" s="15">
        <f t="shared" si="5"/>
        <v>122065.90299999999</v>
      </c>
      <c r="M52" s="16">
        <v>134273</v>
      </c>
      <c r="N52" s="17">
        <v>140315</v>
      </c>
      <c r="O52" s="1">
        <v>146208</v>
      </c>
      <c r="P52" s="51">
        <v>153518.4</v>
      </c>
      <c r="Q52" s="66">
        <v>161194.32</v>
      </c>
      <c r="R52" s="51">
        <v>169254</v>
      </c>
      <c r="S52" s="133">
        <v>179409</v>
      </c>
      <c r="T52" s="56"/>
      <c r="U52" s="54" t="s">
        <v>39</v>
      </c>
      <c r="V52" s="68"/>
      <c r="W52" s="3"/>
      <c r="X52" s="3"/>
      <c r="Y52" s="22"/>
      <c r="Z52" s="22"/>
      <c r="AA52" s="3"/>
      <c r="AB52" s="39"/>
      <c r="AC52" s="91"/>
    </row>
    <row r="53" spans="1:29" ht="12.75" customHeight="1">
      <c r="A53" s="119" t="s">
        <v>41</v>
      </c>
      <c r="B53" s="14">
        <v>62304</v>
      </c>
      <c r="C53" s="14">
        <v>68472</v>
      </c>
      <c r="D53" s="14">
        <f>72580</f>
        <v>72580</v>
      </c>
      <c r="E53" s="14">
        <f>72580*105%</f>
        <v>76209</v>
      </c>
      <c r="F53" s="14">
        <v>80019</v>
      </c>
      <c r="G53" s="14">
        <v>83620</v>
      </c>
      <c r="H53" s="14">
        <v>87634</v>
      </c>
      <c r="I53" s="15">
        <v>96599</v>
      </c>
      <c r="J53" s="15">
        <v>101622</v>
      </c>
      <c r="K53" s="15">
        <v>107719</v>
      </c>
      <c r="L53" s="15">
        <f t="shared" si="5"/>
        <v>115151.61099999999</v>
      </c>
      <c r="M53" s="16">
        <f t="shared" si="4"/>
        <v>126666.7721</v>
      </c>
      <c r="N53" s="17">
        <v>132367</v>
      </c>
      <c r="O53" s="1">
        <v>137926</v>
      </c>
      <c r="P53" s="51">
        <v>144822.30000000002</v>
      </c>
      <c r="Q53" s="66">
        <v>152063.41500000004</v>
      </c>
      <c r="R53" s="51">
        <v>159666</v>
      </c>
      <c r="S53" s="133">
        <v>169246</v>
      </c>
      <c r="T53" s="56"/>
      <c r="U53" s="54" t="s">
        <v>39</v>
      </c>
      <c r="V53" s="68"/>
      <c r="W53" s="3"/>
      <c r="X53" s="3"/>
      <c r="Y53" s="22"/>
      <c r="Z53" s="22"/>
      <c r="AA53" s="3"/>
      <c r="AB53" s="39"/>
      <c r="AC53" s="91"/>
    </row>
    <row r="54" spans="1:29" ht="12.75" customHeight="1">
      <c r="A54" s="119" t="s">
        <v>42</v>
      </c>
      <c r="B54" s="14">
        <v>58779</v>
      </c>
      <c r="C54" s="14">
        <v>64598</v>
      </c>
      <c r="D54" s="14">
        <f>68474</f>
        <v>68474</v>
      </c>
      <c r="E54" s="14">
        <f>68474*105%</f>
        <v>71897.7</v>
      </c>
      <c r="F54" s="14">
        <v>75493</v>
      </c>
      <c r="G54" s="14">
        <v>78890</v>
      </c>
      <c r="H54" s="14">
        <v>82677</v>
      </c>
      <c r="I54" s="15">
        <v>91134</v>
      </c>
      <c r="J54" s="15">
        <v>95873</v>
      </c>
      <c r="K54" s="15">
        <v>101625</v>
      </c>
      <c r="L54" s="15">
        <f t="shared" si="5"/>
        <v>108637.125</v>
      </c>
      <c r="M54" s="16">
        <f t="shared" si="4"/>
        <v>119500.83750000001</v>
      </c>
      <c r="N54" s="17">
        <v>124878</v>
      </c>
      <c r="O54" s="1">
        <v>130124</v>
      </c>
      <c r="P54" s="51">
        <v>136630.2</v>
      </c>
      <c r="Q54" s="66">
        <v>143461.71000000002</v>
      </c>
      <c r="R54" s="51">
        <v>150635</v>
      </c>
      <c r="S54" s="133">
        <v>159673</v>
      </c>
      <c r="T54" s="56"/>
      <c r="U54" s="54" t="s">
        <v>39</v>
      </c>
      <c r="V54" s="68"/>
      <c r="W54" s="3"/>
      <c r="X54" s="3"/>
      <c r="Y54" s="22"/>
      <c r="Z54" s="22"/>
      <c r="AA54" s="3"/>
      <c r="AB54" s="39"/>
      <c r="AC54" s="91"/>
    </row>
    <row r="55" spans="1:29" ht="12.75" customHeight="1">
      <c r="A55" s="119" t="s">
        <v>43</v>
      </c>
      <c r="B55" s="14">
        <v>5384</v>
      </c>
      <c r="C55" s="14">
        <v>5917</v>
      </c>
      <c r="D55" s="14">
        <f>6272</f>
        <v>6272</v>
      </c>
      <c r="E55" s="14">
        <f>6272*105%</f>
        <v>6585.6</v>
      </c>
      <c r="F55" s="14">
        <v>6915</v>
      </c>
      <c r="G55" s="14">
        <v>7226</v>
      </c>
      <c r="H55" s="14">
        <v>7573</v>
      </c>
      <c r="I55" s="15">
        <v>8348</v>
      </c>
      <c r="J55" s="15">
        <v>8782</v>
      </c>
      <c r="K55" s="15">
        <v>9309</v>
      </c>
      <c r="L55" s="15">
        <f t="shared" si="5"/>
        <v>9951.321</v>
      </c>
      <c r="M55" s="16">
        <f t="shared" si="4"/>
        <v>10946.4531</v>
      </c>
      <c r="N55" s="17">
        <v>11439</v>
      </c>
      <c r="O55" s="1">
        <v>11919</v>
      </c>
      <c r="P55" s="51">
        <v>12514.95</v>
      </c>
      <c r="Q55" s="66">
        <v>13140.697500000002</v>
      </c>
      <c r="R55" s="51">
        <v>13797.732375000003</v>
      </c>
      <c r="S55" s="133">
        <v>14626</v>
      </c>
      <c r="T55" s="56"/>
      <c r="U55" s="54"/>
      <c r="V55" s="3"/>
      <c r="W55" s="3"/>
      <c r="X55" s="3"/>
      <c r="Y55" s="22"/>
      <c r="Z55" s="22"/>
      <c r="AA55" s="3"/>
      <c r="AB55" s="39"/>
      <c r="AC55" s="91"/>
    </row>
    <row r="56" spans="1:29" ht="12.75" customHeight="1" thickBot="1">
      <c r="A56" s="110" t="s">
        <v>44</v>
      </c>
      <c r="B56" s="14"/>
      <c r="C56" s="14"/>
      <c r="D56" s="80"/>
      <c r="E56" s="14"/>
      <c r="F56" s="80"/>
      <c r="G56" s="80"/>
      <c r="H56" s="15" t="s">
        <v>54</v>
      </c>
      <c r="I56" s="112">
        <v>0.035</v>
      </c>
      <c r="J56" s="112">
        <v>0.05</v>
      </c>
      <c r="K56" s="124">
        <v>0.052</v>
      </c>
      <c r="L56" s="124">
        <v>0.069</v>
      </c>
      <c r="M56" s="125">
        <v>0.1</v>
      </c>
      <c r="N56" s="126">
        <v>0.045</v>
      </c>
      <c r="O56" s="126">
        <v>0.042</v>
      </c>
      <c r="P56" s="125">
        <v>0.05</v>
      </c>
      <c r="Q56" s="125">
        <v>0.05</v>
      </c>
      <c r="R56" s="127">
        <v>0.05</v>
      </c>
      <c r="S56" s="134">
        <v>0.06</v>
      </c>
      <c r="T56" s="56"/>
      <c r="U56" s="54"/>
      <c r="V56" s="69"/>
      <c r="W56" s="69"/>
      <c r="X56" s="69"/>
      <c r="Y56" s="70"/>
      <c r="Z56" s="70"/>
      <c r="AA56" s="69"/>
      <c r="AB56" s="92"/>
      <c r="AC56" s="93"/>
    </row>
    <row r="57" spans="1:19" ht="12.75">
      <c r="A57" s="18"/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9"/>
      <c r="O57" s="20"/>
      <c r="P57" s="65"/>
      <c r="Q57" s="74"/>
      <c r="R57" s="65"/>
      <c r="S57" s="65"/>
    </row>
    <row r="58" spans="1:19" ht="12.75">
      <c r="A58" s="18"/>
      <c r="B58" s="19"/>
      <c r="C58" s="19"/>
      <c r="D58" s="21"/>
      <c r="E58" s="21"/>
      <c r="F58" s="21"/>
      <c r="O58" s="20"/>
      <c r="P58" s="65"/>
      <c r="Q58" s="74"/>
      <c r="R58" s="65"/>
      <c r="S58" s="65"/>
    </row>
    <row r="59" spans="1:6" ht="12.75">
      <c r="A59" s="18"/>
      <c r="B59" s="19"/>
      <c r="C59" s="19"/>
      <c r="D59" s="21"/>
      <c r="E59" s="21"/>
      <c r="F59" s="21"/>
    </row>
    <row r="60" spans="1:6" ht="12.75">
      <c r="A60" s="18"/>
      <c r="B60" s="19"/>
      <c r="C60" s="19"/>
      <c r="D60" s="21"/>
      <c r="E60" s="21"/>
      <c r="F60" s="21"/>
    </row>
    <row r="61" spans="1:6" ht="12.75">
      <c r="A61" s="18"/>
      <c r="B61" s="19"/>
      <c r="C61" s="19"/>
      <c r="D61" s="21"/>
      <c r="E61" s="21"/>
      <c r="F61" s="21"/>
    </row>
    <row r="62" spans="1:6" ht="12.75">
      <c r="A62" s="18"/>
      <c r="B62" s="19"/>
      <c r="C62" s="19"/>
      <c r="D62" s="21"/>
      <c r="E62" s="21"/>
      <c r="F62" s="21"/>
    </row>
    <row r="63" spans="1:6" ht="12.75">
      <c r="A63" s="18"/>
      <c r="B63" s="19"/>
      <c r="C63" s="19"/>
      <c r="D63" s="21"/>
      <c r="E63" s="21"/>
      <c r="F63" s="21"/>
    </row>
    <row r="64" spans="1:6" ht="12.75">
      <c r="A64" s="18"/>
      <c r="B64" s="19"/>
      <c r="C64" s="19"/>
      <c r="D64" s="21"/>
      <c r="E64" s="21"/>
      <c r="F64" s="21"/>
    </row>
    <row r="65" spans="1:6" ht="12.75">
      <c r="A65" s="18"/>
      <c r="B65" s="19"/>
      <c r="C65" s="19"/>
      <c r="D65" s="21"/>
      <c r="E65" s="21"/>
      <c r="F65" s="21"/>
    </row>
    <row r="66" spans="1:6" ht="12.75">
      <c r="A66" s="18"/>
      <c r="B66" s="19"/>
      <c r="C66" s="19"/>
      <c r="D66" s="21"/>
      <c r="E66" s="21"/>
      <c r="F66" s="21"/>
    </row>
    <row r="67" spans="1:3" ht="12.75">
      <c r="A67" s="18"/>
      <c r="B67" s="24"/>
      <c r="C67" s="19"/>
    </row>
    <row r="68" spans="1:3" ht="12.75">
      <c r="A68" s="18"/>
      <c r="B68" s="24"/>
      <c r="C68" s="19"/>
    </row>
    <row r="69" spans="1:3" ht="12.75">
      <c r="A69" s="18"/>
      <c r="B69" s="24"/>
      <c r="C69" s="19"/>
    </row>
    <row r="70" spans="1:3" ht="12.75">
      <c r="A70" s="18"/>
      <c r="B70" s="24"/>
      <c r="C70" s="19"/>
    </row>
    <row r="71" spans="1:3" ht="12.75">
      <c r="A71" s="18"/>
      <c r="B71" s="24"/>
      <c r="C71" s="19"/>
    </row>
    <row r="72" spans="1:3" ht="12.75">
      <c r="A72" s="18"/>
      <c r="B72" s="24"/>
      <c r="C72" s="19"/>
    </row>
    <row r="73" spans="1:3" ht="12.75">
      <c r="A73" s="18"/>
      <c r="B73" s="24"/>
      <c r="C73" s="19"/>
    </row>
    <row r="74" spans="1:3" ht="12.75">
      <c r="A74" s="18"/>
      <c r="B74" s="24"/>
      <c r="C74" s="19"/>
    </row>
    <row r="75" spans="1:3" ht="12.75">
      <c r="A75" s="18"/>
      <c r="B75" s="24"/>
      <c r="C75" s="19"/>
    </row>
    <row r="76" spans="1:3" ht="12.75">
      <c r="A76" s="18"/>
      <c r="B76" s="24"/>
      <c r="C76" s="19"/>
    </row>
    <row r="77" spans="1:3" ht="12.75">
      <c r="A77" s="18"/>
      <c r="B77" s="24"/>
      <c r="C77" s="19"/>
    </row>
    <row r="78" spans="1:3" ht="12.75">
      <c r="A78" s="18"/>
      <c r="B78" s="24"/>
      <c r="C78" s="19"/>
    </row>
    <row r="79" spans="1:3" ht="12.75">
      <c r="A79" s="18"/>
      <c r="B79" s="24"/>
      <c r="C79" s="19"/>
    </row>
    <row r="80" spans="1:3" ht="12.75">
      <c r="A80" s="18"/>
      <c r="B80" s="24"/>
      <c r="C80" s="19"/>
    </row>
    <row r="81" spans="1:3" ht="12.75">
      <c r="A81" s="18"/>
      <c r="B81" s="24"/>
      <c r="C81" s="19"/>
    </row>
    <row r="82" spans="1:3" ht="12.75">
      <c r="A82" s="18"/>
      <c r="B82" s="24"/>
      <c r="C82" s="19"/>
    </row>
    <row r="83" spans="1:3" ht="12.75">
      <c r="A83" s="18"/>
      <c r="B83" s="24"/>
      <c r="C83" s="19"/>
    </row>
    <row r="84" spans="2:3" ht="12.75">
      <c r="B84" s="24"/>
      <c r="C84" s="19"/>
    </row>
    <row r="85" spans="1:3" ht="12.75">
      <c r="A85" s="18"/>
      <c r="B85" s="24"/>
      <c r="C85" s="19"/>
    </row>
    <row r="94" spans="1:22" ht="12.75">
      <c r="A94" s="41" t="s">
        <v>89</v>
      </c>
      <c r="B94" s="29"/>
      <c r="C94" s="42"/>
      <c r="D94" s="29"/>
      <c r="E94" s="29"/>
      <c r="F94" s="42"/>
      <c r="G94" s="42"/>
      <c r="H94" s="42"/>
      <c r="I94" s="42"/>
      <c r="J94" s="42"/>
      <c r="K94" s="42"/>
      <c r="L94" s="42"/>
      <c r="M94" s="42"/>
      <c r="N94" s="42"/>
      <c r="O94" s="30"/>
      <c r="P94" s="30"/>
      <c r="Q94" s="72"/>
      <c r="R94" s="30"/>
      <c r="S94" s="30"/>
      <c r="T94" s="53"/>
      <c r="U94" s="53"/>
      <c r="V94" s="30"/>
    </row>
    <row r="95" spans="1:22" ht="12.75">
      <c r="A95" s="41" t="s">
        <v>85</v>
      </c>
      <c r="B95" s="42"/>
      <c r="C95" s="42"/>
      <c r="D95" s="29"/>
      <c r="E95" s="29"/>
      <c r="F95" s="42"/>
      <c r="G95" s="42"/>
      <c r="H95" s="42"/>
      <c r="I95" s="42"/>
      <c r="J95" s="42"/>
      <c r="K95" s="42"/>
      <c r="L95" s="42"/>
      <c r="M95" s="42"/>
      <c r="N95" s="42"/>
      <c r="O95" s="30"/>
      <c r="P95" s="30"/>
      <c r="Q95" s="72"/>
      <c r="R95" s="30"/>
      <c r="S95" s="30"/>
      <c r="T95" s="53"/>
      <c r="U95" s="53"/>
      <c r="V95" s="30"/>
    </row>
    <row r="96" spans="1:22" ht="12.75">
      <c r="A96" s="41" t="s">
        <v>86</v>
      </c>
      <c r="B96" s="42"/>
      <c r="C96" s="42"/>
      <c r="D96" s="29"/>
      <c r="E96" s="29"/>
      <c r="F96" s="42"/>
      <c r="G96" s="42"/>
      <c r="H96" s="42"/>
      <c r="I96" s="42"/>
      <c r="J96" s="42"/>
      <c r="K96" s="42"/>
      <c r="L96" s="42"/>
      <c r="M96" s="42"/>
      <c r="N96" s="42"/>
      <c r="O96" s="30"/>
      <c r="P96" s="30"/>
      <c r="Q96" s="72"/>
      <c r="R96" s="30"/>
      <c r="S96" s="30"/>
      <c r="T96" s="53"/>
      <c r="U96" s="53"/>
      <c r="V96" s="30"/>
    </row>
    <row r="97" spans="1:22" ht="12.75">
      <c r="A97" s="41" t="s">
        <v>87</v>
      </c>
      <c r="B97" s="42"/>
      <c r="C97" s="42"/>
      <c r="D97" s="29"/>
      <c r="E97" s="29"/>
      <c r="F97" s="42"/>
      <c r="G97" s="42"/>
      <c r="H97" s="42"/>
      <c r="I97" s="42"/>
      <c r="J97" s="42"/>
      <c r="K97" s="42"/>
      <c r="L97" s="42"/>
      <c r="M97" s="42"/>
      <c r="N97" s="42"/>
      <c r="O97" s="30"/>
      <c r="P97" s="30"/>
      <c r="Q97" s="72"/>
      <c r="R97" s="30"/>
      <c r="S97" s="30"/>
      <c r="T97" s="53"/>
      <c r="U97" s="53"/>
      <c r="V97" s="30"/>
    </row>
    <row r="98" spans="1:22" ht="12.75">
      <c r="A98" s="141" t="s">
        <v>91</v>
      </c>
      <c r="B98" s="142"/>
      <c r="C98" s="30"/>
      <c r="D98" s="35"/>
      <c r="E98" s="36"/>
      <c r="F98" s="30"/>
      <c r="G98" s="30"/>
      <c r="H98" s="37"/>
      <c r="I98" s="30"/>
      <c r="J98" s="30"/>
      <c r="K98" s="30"/>
      <c r="L98" s="30"/>
      <c r="M98" s="30"/>
      <c r="N98" s="30"/>
      <c r="O98" s="30"/>
      <c r="P98" s="30"/>
      <c r="Q98" s="72"/>
      <c r="R98" s="30"/>
      <c r="S98" s="30"/>
      <c r="T98" s="53"/>
      <c r="U98" s="53"/>
      <c r="V98" s="30"/>
    </row>
    <row r="99" spans="1:22" ht="12.75">
      <c r="A99" s="45">
        <v>40878</v>
      </c>
      <c r="B99" s="46">
        <v>41244</v>
      </c>
      <c r="C99" s="30"/>
      <c r="D99" s="32"/>
      <c r="E99" s="32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72"/>
      <c r="R99" s="30"/>
      <c r="S99" s="30"/>
      <c r="T99" s="53"/>
      <c r="U99" s="53"/>
      <c r="V99" s="30"/>
    </row>
    <row r="100" spans="1:22" ht="12.75">
      <c r="A100" s="13"/>
      <c r="B100" s="47"/>
      <c r="C100" s="2"/>
      <c r="D100" s="32"/>
      <c r="E100" s="32"/>
      <c r="F100" s="38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72"/>
      <c r="R100" s="30"/>
      <c r="S100" s="30"/>
      <c r="T100" s="53"/>
      <c r="U100" s="53"/>
      <c r="V100" s="30"/>
    </row>
    <row r="101" spans="1:22" ht="12.75">
      <c r="A101" s="43">
        <v>22285</v>
      </c>
      <c r="B101" s="48">
        <f>A101*105.3%</f>
        <v>23466.105</v>
      </c>
      <c r="C101" s="30" t="s">
        <v>94</v>
      </c>
      <c r="D101" s="32">
        <v>580466</v>
      </c>
      <c r="E101" s="32">
        <v>1927314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72"/>
      <c r="R101" s="30"/>
      <c r="S101" s="30"/>
      <c r="T101" s="53"/>
      <c r="U101" s="53"/>
      <c r="V101" s="30"/>
    </row>
    <row r="102" spans="1:22" ht="12.75">
      <c r="A102" s="31">
        <v>42000</v>
      </c>
      <c r="B102" s="48">
        <f>A102*105.3%</f>
        <v>44226</v>
      </c>
      <c r="C102" s="50" t="s">
        <v>93</v>
      </c>
      <c r="D102" s="32">
        <v>580466</v>
      </c>
      <c r="E102" s="39"/>
      <c r="F102" s="40"/>
      <c r="G102" s="40"/>
      <c r="H102" s="40"/>
      <c r="I102" s="30"/>
      <c r="J102" s="30"/>
      <c r="K102" s="30"/>
      <c r="L102" s="30"/>
      <c r="M102" s="30"/>
      <c r="N102" s="30"/>
      <c r="O102" s="30"/>
      <c r="P102" s="30"/>
      <c r="Q102" s="72"/>
      <c r="R102" s="30"/>
      <c r="S102" s="30"/>
      <c r="T102" s="53"/>
      <c r="U102" s="53"/>
      <c r="V102" s="30"/>
    </row>
    <row r="103" spans="1:22" ht="12.75">
      <c r="A103" s="135" t="s">
        <v>90</v>
      </c>
      <c r="B103" s="136"/>
      <c r="C103" s="30"/>
      <c r="D103" s="32"/>
      <c r="E103" s="39"/>
      <c r="F103" s="40"/>
      <c r="G103" s="40"/>
      <c r="H103" s="40"/>
      <c r="I103" s="30"/>
      <c r="J103" s="30"/>
      <c r="K103" s="30"/>
      <c r="L103" s="30"/>
      <c r="M103" s="30"/>
      <c r="N103" s="30"/>
      <c r="O103" s="30"/>
      <c r="P103" s="30"/>
      <c r="Q103" s="72"/>
      <c r="R103" s="30"/>
      <c r="S103" s="30"/>
      <c r="T103" s="53"/>
      <c r="U103" s="53"/>
      <c r="V103" s="30"/>
    </row>
    <row r="104" spans="1:22" ht="12.75">
      <c r="A104" s="44">
        <v>230000</v>
      </c>
      <c r="B104" s="49">
        <v>185000</v>
      </c>
      <c r="C104" s="30"/>
      <c r="D104" s="32"/>
      <c r="E104" s="39"/>
      <c r="F104" s="40"/>
      <c r="G104" s="40"/>
      <c r="H104" s="40"/>
      <c r="I104" s="30"/>
      <c r="J104" s="30"/>
      <c r="K104" s="30"/>
      <c r="L104" s="30"/>
      <c r="M104" s="30"/>
      <c r="N104" s="30"/>
      <c r="O104" s="30"/>
      <c r="P104" s="30"/>
      <c r="Q104" s="72"/>
      <c r="R104" s="30"/>
      <c r="S104" s="30"/>
      <c r="T104" s="53"/>
      <c r="U104" s="53"/>
      <c r="V104" s="30"/>
    </row>
    <row r="105" spans="1:22" ht="12.75">
      <c r="A105" s="44">
        <v>115000</v>
      </c>
      <c r="B105" s="49">
        <v>92500</v>
      </c>
      <c r="C105" s="30"/>
      <c r="D105" s="32"/>
      <c r="E105" s="39"/>
      <c r="F105" s="40"/>
      <c r="G105" s="40"/>
      <c r="H105" s="40"/>
      <c r="I105" s="30"/>
      <c r="J105" s="30"/>
      <c r="K105" s="30"/>
      <c r="L105" s="30"/>
      <c r="M105" s="30"/>
      <c r="N105" s="30"/>
      <c r="O105" s="30"/>
      <c r="P105" s="30"/>
      <c r="Q105" s="72"/>
      <c r="R105" s="30"/>
      <c r="S105" s="30"/>
      <c r="T105" s="53"/>
      <c r="U105" s="53"/>
      <c r="V105" s="30"/>
    </row>
    <row r="106" spans="1:22" ht="12.75">
      <c r="A106" s="34" t="s">
        <v>88</v>
      </c>
      <c r="B106" s="30"/>
      <c r="C106" s="30"/>
      <c r="D106" s="32"/>
      <c r="E106" s="39"/>
      <c r="F106" s="40"/>
      <c r="G106" s="40"/>
      <c r="H106" s="40"/>
      <c r="I106" s="30"/>
      <c r="J106" s="30"/>
      <c r="K106" s="30"/>
      <c r="L106" s="30"/>
      <c r="M106" s="30"/>
      <c r="N106" s="30"/>
      <c r="O106" s="30"/>
      <c r="P106" s="30"/>
      <c r="Q106" s="72"/>
      <c r="R106" s="30"/>
      <c r="S106" s="30"/>
      <c r="T106" s="53"/>
      <c r="U106" s="53"/>
      <c r="V106" s="30"/>
    </row>
    <row r="107" spans="1:21" ht="12.75">
      <c r="A107" s="2" t="s">
        <v>92</v>
      </c>
      <c r="B107" s="30"/>
      <c r="C107" s="30"/>
      <c r="D107" s="32"/>
      <c r="E107" s="39"/>
      <c r="F107" s="40"/>
      <c r="G107" s="40"/>
      <c r="H107" s="40"/>
      <c r="I107" s="30"/>
      <c r="J107" s="30"/>
      <c r="K107" s="30"/>
      <c r="L107" s="30"/>
      <c r="M107" s="30"/>
      <c r="N107" s="30"/>
      <c r="O107" s="2"/>
      <c r="P107" s="30"/>
      <c r="Q107" s="72"/>
      <c r="R107" s="30"/>
      <c r="S107" s="30"/>
      <c r="T107" s="53"/>
      <c r="U107" s="53"/>
    </row>
    <row r="108" spans="1:21" ht="12.75">
      <c r="A108" s="33"/>
      <c r="B108" s="2"/>
      <c r="C108" s="2"/>
      <c r="D108" s="4"/>
      <c r="E108" s="27"/>
      <c r="F108" s="28"/>
      <c r="G108" s="27"/>
      <c r="H108" s="3"/>
      <c r="I108" s="2"/>
      <c r="J108" s="2"/>
      <c r="K108" s="2"/>
      <c r="L108" s="2"/>
      <c r="M108" s="2"/>
      <c r="N108" s="2"/>
      <c r="O108" s="2"/>
      <c r="P108" s="30"/>
      <c r="Q108" s="72"/>
      <c r="R108" s="30"/>
      <c r="S108" s="30"/>
      <c r="T108" s="53"/>
      <c r="U108" s="53"/>
    </row>
  </sheetData>
  <sheetProtection/>
  <mergeCells count="4">
    <mergeCell ref="A103:B103"/>
    <mergeCell ref="A1:U1"/>
    <mergeCell ref="A2:U2"/>
    <mergeCell ref="A98:B98"/>
  </mergeCells>
  <printOptions gridLines="1"/>
  <pageMargins left="0.95" right="0.23" top="0.78" bottom="0.2362204724409449" header="0.984251968503937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DEMOSTRACION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DEMOSTRACION</dc:creator>
  <cp:keywords/>
  <dc:description/>
  <cp:lastModifiedBy>Administrador</cp:lastModifiedBy>
  <cp:lastPrinted>2014-12-11T14:28:08Z</cp:lastPrinted>
  <dcterms:created xsi:type="dcterms:W3CDTF">1997-12-02T15:09:39Z</dcterms:created>
  <dcterms:modified xsi:type="dcterms:W3CDTF">2014-12-11T20:46:22Z</dcterms:modified>
  <cp:category/>
  <cp:version/>
  <cp:contentType/>
  <cp:contentStatus/>
</cp:coreProperties>
</file>